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omments6.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xml" ContentType="application/vnd.openxmlformats-officedocument.drawing+xml"/>
  <Override PartName="/xl/comments7.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xml"/>
  <Override PartName="/xl/comments8.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xml" ContentType="application/vnd.openxmlformats-officedocument.drawing+xml"/>
  <Override PartName="/xl/comments9.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xml" ContentType="application/vnd.openxmlformats-officedocument.drawing+xml"/>
  <Override PartName="/xl/comments10.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xml" ContentType="application/vnd.openxmlformats-officedocument.drawing+xml"/>
  <Override PartName="/xl/comments11.xml" ContentType="application/vnd.openxmlformats-officedocument.spreadsheetml.comment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xml" ContentType="application/vnd.openxmlformats-officedocument.drawing+xml"/>
  <Override PartName="/xl/comments12.xml" ContentType="application/vnd.openxmlformats-officedocument.spreadsheetml.comment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xml" ContentType="application/vnd.openxmlformats-officedocument.drawing+xml"/>
  <Override PartName="/xl/comments13.xml" ContentType="application/vnd.openxmlformats-officedocument.spreadsheetml.comment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xml" ContentType="application/vnd.openxmlformats-officedocument.drawing+xml"/>
  <Override PartName="/xl/comments14.xml" ContentType="application/vnd.openxmlformats-officedocument.spreadsheetml.comment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3.xml" ContentType="application/vnd.openxmlformats-officedocument.drawing+xml"/>
  <Override PartName="/xl/comments15.xml" ContentType="application/vnd.openxmlformats-officedocument.spreadsheetml.comment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4.xml" ContentType="application/vnd.openxmlformats-officedocument.drawing+xml"/>
  <Override PartName="/xl/comments16.xml" ContentType="application/vnd.openxmlformats-officedocument.spreadsheetml.comment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5.xml" ContentType="application/vnd.openxmlformats-officedocument.drawing+xml"/>
  <Override PartName="/xl/comments17.xml" ContentType="application/vnd.openxmlformats-officedocument.spreadsheetml.comment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6.xml" ContentType="application/vnd.openxmlformats-officedocument.drawing+xml"/>
  <Override PartName="/xl/comments18.xml" ContentType="application/vnd.openxmlformats-officedocument.spreadsheetml.comment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7.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8.xml" ContentType="application/vnd.openxmlformats-officedocument.drawing+xml"/>
  <Override PartName="/xl/comments19.xml" ContentType="application/vnd.openxmlformats-officedocument.spreadsheetml.comment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9.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20.xml" ContentType="application/vnd.openxmlformats-officedocument.drawing+xml"/>
  <Override PartName="/xl/comments20.xml" ContentType="application/vnd.openxmlformats-officedocument.spreadsheetml.comment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21.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22.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omments21.xml" ContentType="application/vnd.openxmlformats-officedocument.spreadsheetml.comments+xml"/>
  <Override PartName="/xl/pivotTables/pivotTable1.xml" ContentType="application/vnd.openxmlformats-officedocument.spreadsheetml.pivotTable+xml"/>
  <Override PartName="/xl/comments2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3"/>
  <workbookPr checkCompatibility="1" autoCompressPictures="0"/>
  <mc:AlternateContent xmlns:mc="http://schemas.openxmlformats.org/markup-compatibility/2006">
    <mc:Choice Requires="x15">
      <x15ac:absPath xmlns:x15ac="http://schemas.microsoft.com/office/spreadsheetml/2010/11/ac" url="/Users/gruberte/Desktop/Older projects and themed resources/Water for Energy/"/>
    </mc:Choice>
  </mc:AlternateContent>
  <xr:revisionPtr revIDLastSave="0" documentId="8_{76854CD5-46C4-0B49-8903-C30C8A1E8010}" xr6:coauthVersionLast="33" xr6:coauthVersionMax="33" xr10:uidLastSave="{00000000-0000-0000-0000-000000000000}"/>
  <bookViews>
    <workbookView xWindow="0" yWindow="460" windowWidth="38400" windowHeight="20100" tabRatio="500" xr2:uid="{00000000-000D-0000-FFFF-FFFF00000000}"/>
  </bookViews>
  <sheets>
    <sheet name="Introduction" sheetId="1" r:id="rId1"/>
    <sheet name="Volume Summary" sheetId="38" r:id="rId2"/>
    <sheet name="Intensity Summary" sheetId="43" r:id="rId3"/>
    <sheet name="Absolute Volume" sheetId="6" r:id="rId4"/>
    <sheet name="Intensity" sheetId="40" r:id="rId5"/>
    <sheet name="Output data" sheetId="8" state="hidden" r:id="rId6"/>
    <sheet name="Resource-specific data-&gt;" sheetId="13" r:id="rId7"/>
    <sheet name="Oil" sheetId="14" r:id="rId8"/>
    <sheet name="Conventional Oil" sheetId="15" r:id="rId9"/>
    <sheet name="Unconventional Oil" sheetId="16" r:id="rId10"/>
    <sheet name="Ethanol" sheetId="17" r:id="rId11"/>
    <sheet name="Biodiesel" sheetId="33" r:id="rId12"/>
    <sheet name="Coal" sheetId="34" r:id="rId13"/>
    <sheet name="Subbituminous Coal" sheetId="18" r:id="rId14"/>
    <sheet name="Bituminous Coal" sheetId="19" r:id="rId15"/>
    <sheet name="Lignite Coal" sheetId="20" r:id="rId16"/>
    <sheet name="Natural Gas" sheetId="21" r:id="rId17"/>
    <sheet name="Conventional Natural Gas" sheetId="22" r:id="rId18"/>
    <sheet name="Unconventional Natural Gas" sheetId="23" r:id="rId19"/>
    <sheet name="Uranium" sheetId="24" r:id="rId20"/>
    <sheet name="Hydropower" sheetId="25" r:id="rId21"/>
    <sheet name="Wind" sheetId="26" r:id="rId22"/>
    <sheet name="Solid Biomass and RDF" sheetId="27" r:id="rId23"/>
    <sheet name="Biogas" sheetId="28" r:id="rId24"/>
    <sheet name="Geothermal" sheetId="29" r:id="rId25"/>
    <sheet name="Solar Photovoltaic" sheetId="30" r:id="rId26"/>
    <sheet name="Solar Thermal" sheetId="31" r:id="rId27"/>
    <sheet name="Resource calc sheets (hidden) &gt;" sheetId="12" state="hidden" r:id="rId28"/>
    <sheet name="Calculations and assumptions-&gt;" sheetId="37" r:id="rId29"/>
    <sheet name="Internal consistency check" sheetId="41" r:id="rId30"/>
    <sheet name="Constants" sheetId="2" r:id="rId31"/>
    <sheet name="EIA definitions" sheetId="42" r:id="rId32"/>
    <sheet name="Energy data by fuel cycle" sheetId="4" r:id="rId33"/>
    <sheet name="Sankey conversion input" sheetId="5" r:id="rId34"/>
    <sheet name="Allocation of &quot;other&quot; fuels" sheetId="39" r:id="rId35"/>
    <sheet name="Intermediate o&amp;g entries" sheetId="9" r:id="rId36"/>
    <sheet name="Intermediate coal entries" sheetId="11" r:id="rId37"/>
    <sheet name="Intermediate geothermal" sheetId="32" r:id="rId38"/>
  </sheets>
  <externalReferences>
    <externalReference r:id="rId39"/>
  </externalReferences>
  <definedNames>
    <definedName name="_xlnm._FilterDatabase" localSheetId="34" hidden="1">'Allocation of "other" fuels'!$A$11:$G$63</definedName>
    <definedName name="_xlnm._FilterDatabase" localSheetId="37" hidden="1">'Intermediate geothermal'!$A$4:$N$4</definedName>
    <definedName name="btu.kWh">Constants!$A$3</definedName>
    <definedName name="conv_ng_frac">'Energy data by fuel cycle'!$C$153</definedName>
    <definedName name="conv_ng_pct">'Energy data by fuel cycle'!$C$153</definedName>
    <definedName name="conv_oil_frac">'Energy data by fuel cycle'!$C$156</definedName>
    <definedName name="conv_oil_pct">'Energy data by fuel cycle'!$C$156</definedName>
    <definedName name="gal.per.bbl">Constants!$A$5</definedName>
    <definedName name="GJ.per.GWh">Constants!$A$2</definedName>
    <definedName name="GJ.per.mmbtu">Constants!$A$4</definedName>
    <definedName name="m3.per.gal">'[1]Global Conversion Factors'!$A$4</definedName>
    <definedName name="mwh.per.GJ">'[1]Global Conversion Factors'!$A$6</definedName>
    <definedName name="TD.loss">Constants!$A$11</definedName>
    <definedName name="unconv_ng_frac">'Energy data by fuel cycle'!$C$150</definedName>
    <definedName name="unconv_ng_pct">'Energy data by fuel cycle'!$C$150</definedName>
    <definedName name="unconv_oil_frac">'Energy data by fuel cycle'!$C$155</definedName>
    <definedName name="unconv_oil_pct">'Energy data by fuel cycle'!$C$155</definedName>
  </definedNames>
  <calcPr calcId="179017"/>
  <pivotCaches>
    <pivotCache cacheId="0" r:id="rId40"/>
    <pivotCache cacheId="1" r:id="rId41"/>
    <pivotCache cacheId="2" r:id="rId42"/>
  </pivotCaches>
  <webPublishing allowPng="1" targetScreenSize="1024x768" codePage="1000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E26" i="15" l="1"/>
  <c r="O13" i="29" l="1"/>
  <c r="O12" i="29"/>
  <c r="E12" i="29"/>
  <c r="C13" i="29"/>
  <c r="C12" i="29"/>
  <c r="AA26" i="29"/>
  <c r="AA25" i="29"/>
  <c r="AA24" i="29"/>
  <c r="AA23" i="29"/>
  <c r="Q13" i="27"/>
  <c r="Q12" i="27"/>
  <c r="O13" i="27"/>
  <c r="O12" i="27"/>
  <c r="E12" i="27"/>
  <c r="E13" i="27"/>
  <c r="C13" i="27"/>
  <c r="C12" i="27"/>
  <c r="Q13" i="21"/>
  <c r="Q12" i="21"/>
  <c r="O12" i="21"/>
  <c r="O13" i="21"/>
  <c r="E13" i="21"/>
  <c r="E12" i="21"/>
  <c r="C13" i="21"/>
  <c r="C12" i="21"/>
  <c r="Q12" i="20"/>
  <c r="Q13" i="20"/>
  <c r="O12" i="20"/>
  <c r="O13" i="20"/>
  <c r="E13" i="20"/>
  <c r="E12" i="20"/>
  <c r="C13" i="20"/>
  <c r="C12" i="20"/>
  <c r="Q13" i="19"/>
  <c r="Q12" i="19"/>
  <c r="O12" i="19"/>
  <c r="O13" i="19"/>
  <c r="F13" i="19"/>
  <c r="E12" i="19"/>
  <c r="E13" i="19"/>
  <c r="C13" i="19"/>
  <c r="C12" i="19"/>
  <c r="Q13" i="18"/>
  <c r="Q12" i="18"/>
  <c r="O12" i="18"/>
  <c r="O13" i="18"/>
  <c r="F13" i="18"/>
  <c r="E13" i="18"/>
  <c r="E12" i="18"/>
  <c r="C12" i="18"/>
  <c r="C13" i="18"/>
  <c r="X13" i="34"/>
  <c r="W13" i="34"/>
  <c r="Q13" i="34"/>
  <c r="Q12" i="34"/>
  <c r="O12" i="34"/>
  <c r="O13" i="34"/>
  <c r="F13" i="34"/>
  <c r="E13" i="34"/>
  <c r="E12" i="34"/>
  <c r="C13" i="34"/>
  <c r="C12" i="34"/>
  <c r="C14" i="38" l="1"/>
  <c r="C7" i="38"/>
  <c r="J4" i="41"/>
  <c r="J8" i="41" s="1"/>
  <c r="J5" i="41"/>
  <c r="J6" i="41"/>
  <c r="J11" i="41"/>
  <c r="J12" i="41"/>
  <c r="J16" i="41" s="1"/>
  <c r="J13" i="41"/>
  <c r="J14" i="41"/>
  <c r="J19" i="41"/>
  <c r="J25" i="41" s="1"/>
  <c r="J20" i="41"/>
  <c r="J21" i="41"/>
  <c r="J22" i="41"/>
  <c r="J23" i="41"/>
  <c r="J30" i="41"/>
  <c r="J31" i="41"/>
  <c r="J32" i="41"/>
  <c r="J33" i="41"/>
  <c r="J34" i="41"/>
  <c r="J37" i="41"/>
  <c r="J38" i="41"/>
  <c r="J39" i="41"/>
  <c r="J40" i="41"/>
  <c r="J41" i="41"/>
  <c r="J42" i="41"/>
  <c r="J43" i="41"/>
  <c r="J44" i="41"/>
  <c r="C28" i="41"/>
  <c r="C30" i="41"/>
  <c r="C31" i="41"/>
  <c r="C32" i="41"/>
  <c r="C33" i="41"/>
  <c r="C34" i="41"/>
  <c r="C35" i="41"/>
  <c r="C36" i="41"/>
  <c r="C37" i="41"/>
  <c r="C38" i="41"/>
  <c r="C39" i="41"/>
  <c r="C40" i="41"/>
  <c r="C41" i="41"/>
  <c r="C42" i="41"/>
  <c r="C43" i="41"/>
  <c r="C44" i="41"/>
  <c r="C20" i="41"/>
  <c r="C19" i="41"/>
  <c r="C21" i="41"/>
  <c r="C11" i="41"/>
  <c r="C12" i="41"/>
  <c r="C13" i="41"/>
  <c r="C14" i="41"/>
  <c r="C4" i="41"/>
  <c r="C5" i="41"/>
  <c r="C6" i="41"/>
  <c r="C8" i="41" s="1"/>
  <c r="D37" i="38"/>
  <c r="J36" i="41" s="1"/>
  <c r="D36" i="38"/>
  <c r="J35" i="41" s="1"/>
  <c r="C17" i="14"/>
  <c r="O17" i="14"/>
  <c r="L231" i="6"/>
  <c r="R231" i="6" s="1"/>
  <c r="L232" i="6"/>
  <c r="R232" i="6" s="1"/>
  <c r="R232" i="40"/>
  <c r="L233" i="6"/>
  <c r="R233" i="6" s="1"/>
  <c r="R233" i="40" s="1"/>
  <c r="L234" i="6"/>
  <c r="R234" i="6" s="1"/>
  <c r="R234" i="40"/>
  <c r="L235" i="6"/>
  <c r="R235" i="6" s="1"/>
  <c r="R235" i="40" s="1"/>
  <c r="L236" i="6"/>
  <c r="R236" i="6"/>
  <c r="R236" i="40"/>
  <c r="L237" i="6"/>
  <c r="R237" i="6" s="1"/>
  <c r="R237" i="40" s="1"/>
  <c r="L238" i="6"/>
  <c r="R238" i="6" s="1"/>
  <c r="R238" i="40" s="1"/>
  <c r="L239" i="6"/>
  <c r="R239" i="6" s="1"/>
  <c r="R239" i="40" s="1"/>
  <c r="L240" i="6"/>
  <c r="R240" i="6" s="1"/>
  <c r="R240" i="40"/>
  <c r="L241" i="6"/>
  <c r="R241" i="6"/>
  <c r="R241" i="40" s="1"/>
  <c r="L242" i="6"/>
  <c r="R242" i="6" s="1"/>
  <c r="R242" i="40"/>
  <c r="K235" i="6"/>
  <c r="Q235" i="6"/>
  <c r="Q235" i="40" s="1"/>
  <c r="K236" i="6"/>
  <c r="Q236" i="6" s="1"/>
  <c r="Q236" i="40"/>
  <c r="K237" i="6"/>
  <c r="Q237" i="6" s="1"/>
  <c r="Q237" i="40" s="1"/>
  <c r="K238" i="6"/>
  <c r="Q238" i="6"/>
  <c r="Q238" i="40"/>
  <c r="L279" i="6"/>
  <c r="L280" i="6"/>
  <c r="R280" i="6"/>
  <c r="L281" i="6"/>
  <c r="R281" i="6" s="1"/>
  <c r="L282" i="6"/>
  <c r="R282" i="6"/>
  <c r="L283" i="6"/>
  <c r="R283" i="6" s="1"/>
  <c r="L284" i="6"/>
  <c r="R284" i="6" s="1"/>
  <c r="L285" i="6"/>
  <c r="R285" i="6"/>
  <c r="L286" i="6"/>
  <c r="R286" i="6"/>
  <c r="L287" i="6"/>
  <c r="R287" i="6" s="1"/>
  <c r="L288" i="6"/>
  <c r="R288" i="6"/>
  <c r="L289" i="6"/>
  <c r="L290" i="6"/>
  <c r="R290" i="6"/>
  <c r="K283" i="6"/>
  <c r="Q283" i="6" s="1"/>
  <c r="K284" i="6"/>
  <c r="Q284" i="6" s="1"/>
  <c r="K285" i="6"/>
  <c r="Q285" i="6" s="1"/>
  <c r="K286" i="6"/>
  <c r="Q286" i="6"/>
  <c r="R267" i="6"/>
  <c r="R268" i="6"/>
  <c r="R269" i="6"/>
  <c r="R270" i="6"/>
  <c r="Q267" i="6"/>
  <c r="Q268" i="6"/>
  <c r="Q269" i="6"/>
  <c r="Q270" i="6"/>
  <c r="L187" i="6"/>
  <c r="R188" i="6"/>
  <c r="R189" i="6"/>
  <c r="R190" i="6"/>
  <c r="W20" i="16"/>
  <c r="W21" i="16"/>
  <c r="X20" i="16"/>
  <c r="X21" i="16"/>
  <c r="F44" i="6"/>
  <c r="F45" i="6"/>
  <c r="F46" i="6"/>
  <c r="F59" i="6"/>
  <c r="R60" i="6"/>
  <c r="R61" i="6"/>
  <c r="R62" i="6"/>
  <c r="R76" i="6"/>
  <c r="R77" i="6"/>
  <c r="R78" i="6"/>
  <c r="L120" i="6"/>
  <c r="R120" i="6" s="1"/>
  <c r="L121" i="6"/>
  <c r="R121" i="6" s="1"/>
  <c r="L122" i="6"/>
  <c r="L124" i="6"/>
  <c r="R124" i="6"/>
  <c r="L125" i="6"/>
  <c r="R125" i="6" s="1"/>
  <c r="L126" i="6"/>
  <c r="R126" i="6"/>
  <c r="L128" i="6"/>
  <c r="R128" i="6" s="1"/>
  <c r="L129" i="6"/>
  <c r="R129" i="6" s="1"/>
  <c r="L167" i="6"/>
  <c r="L168" i="6"/>
  <c r="R168" i="6" s="1"/>
  <c r="L169" i="6"/>
  <c r="R169" i="6" s="1"/>
  <c r="L170" i="6"/>
  <c r="R170" i="6"/>
  <c r="L171" i="6"/>
  <c r="L172" i="6"/>
  <c r="R172" i="6" s="1"/>
  <c r="L173" i="6"/>
  <c r="R173" i="6"/>
  <c r="L174" i="6"/>
  <c r="R174" i="6" s="1"/>
  <c r="L175" i="6"/>
  <c r="R175" i="6"/>
  <c r="L176" i="6"/>
  <c r="R176" i="6" s="1"/>
  <c r="L177" i="6"/>
  <c r="R177" i="6" s="1"/>
  <c r="L178" i="6"/>
  <c r="R178" i="6" s="1"/>
  <c r="R204" i="6"/>
  <c r="R205" i="6"/>
  <c r="R206" i="6"/>
  <c r="Q204" i="6"/>
  <c r="Q205" i="6"/>
  <c r="Q206" i="6"/>
  <c r="Q188" i="6"/>
  <c r="Q189" i="6"/>
  <c r="Q190" i="6"/>
  <c r="K171" i="6"/>
  <c r="K172" i="6"/>
  <c r="Q172" i="6" s="1"/>
  <c r="K173" i="6"/>
  <c r="Q173" i="6"/>
  <c r="K174" i="6"/>
  <c r="Q174" i="6" s="1"/>
  <c r="K124" i="6"/>
  <c r="Q124" i="6" s="1"/>
  <c r="K125" i="6"/>
  <c r="Q125" i="6"/>
  <c r="K126" i="6"/>
  <c r="Q126" i="6"/>
  <c r="Q76" i="6"/>
  <c r="Q77" i="6"/>
  <c r="Q78" i="6"/>
  <c r="E59" i="6"/>
  <c r="Q60" i="6"/>
  <c r="Q61" i="6"/>
  <c r="Q62" i="6"/>
  <c r="K21" i="16"/>
  <c r="L21" i="16"/>
  <c r="K21" i="15"/>
  <c r="L21" i="15"/>
  <c r="F12" i="6"/>
  <c r="F14" i="6"/>
  <c r="H12" i="6"/>
  <c r="H13" i="6"/>
  <c r="H14" i="6"/>
  <c r="N12" i="6"/>
  <c r="N13" i="6"/>
  <c r="E12" i="6"/>
  <c r="E13" i="6"/>
  <c r="E14" i="6"/>
  <c r="G12" i="6"/>
  <c r="G13" i="6"/>
  <c r="G14" i="6"/>
  <c r="I12" i="6"/>
  <c r="I14" i="6"/>
  <c r="J12" i="6"/>
  <c r="J14" i="6"/>
  <c r="C27" i="18"/>
  <c r="C26" i="18"/>
  <c r="O26" i="18"/>
  <c r="C32" i="19"/>
  <c r="C24" i="20"/>
  <c r="O24" i="20" s="1"/>
  <c r="AF24" i="20" s="1"/>
  <c r="E131" i="4"/>
  <c r="B155" i="4" s="1"/>
  <c r="E132" i="4"/>
  <c r="B131" i="4"/>
  <c r="C131" i="4" s="1"/>
  <c r="B156" i="4"/>
  <c r="E53" i="4"/>
  <c r="B151" i="4"/>
  <c r="B152" i="4"/>
  <c r="B153" i="4"/>
  <c r="B148" i="4"/>
  <c r="B150" i="4" s="1"/>
  <c r="B149" i="4"/>
  <c r="B144" i="4"/>
  <c r="B145" i="4"/>
  <c r="B146" i="4"/>
  <c r="F15" i="4"/>
  <c r="E15" i="4" s="1"/>
  <c r="AA16" i="25" s="1"/>
  <c r="F16" i="4"/>
  <c r="AA15" i="26" s="1"/>
  <c r="C15" i="26" s="1"/>
  <c r="E16" i="4"/>
  <c r="B16" i="4" s="1"/>
  <c r="F19" i="4"/>
  <c r="E19" i="4"/>
  <c r="B19" i="4" s="1"/>
  <c r="AA15" i="29" s="1"/>
  <c r="F20" i="4"/>
  <c r="E20" i="4"/>
  <c r="B20" i="4"/>
  <c r="F21" i="4"/>
  <c r="E21" i="4" s="1"/>
  <c r="B21" i="4" s="1"/>
  <c r="B7" i="4"/>
  <c r="E7" i="4" s="1"/>
  <c r="C114" i="4"/>
  <c r="F9" i="4"/>
  <c r="E98" i="4"/>
  <c r="F14" i="4"/>
  <c r="E14" i="4"/>
  <c r="E18" i="4"/>
  <c r="E62" i="4"/>
  <c r="F62" i="4" s="1"/>
  <c r="F63" i="4"/>
  <c r="F64" i="4"/>
  <c r="E133" i="4"/>
  <c r="C115" i="4"/>
  <c r="C116" i="4"/>
  <c r="C117" i="4"/>
  <c r="C118" i="4"/>
  <c r="B119" i="4"/>
  <c r="E17" i="4" s="1"/>
  <c r="B120" i="4"/>
  <c r="B126" i="4" s="1"/>
  <c r="B127" i="4" s="1"/>
  <c r="B128" i="4" s="1"/>
  <c r="C120" i="4"/>
  <c r="C121" i="4"/>
  <c r="C122" i="4"/>
  <c r="C123" i="4"/>
  <c r="B124" i="4"/>
  <c r="C124" i="4" s="1"/>
  <c r="E47" i="4" s="1"/>
  <c r="C125" i="4"/>
  <c r="D133" i="4"/>
  <c r="B133" i="4" s="1"/>
  <c r="C133" i="4" s="1"/>
  <c r="D134" i="4"/>
  <c r="B134" i="4" s="1"/>
  <c r="C134" i="4" s="1"/>
  <c r="G8" i="4" s="1"/>
  <c r="E134" i="4"/>
  <c r="H144" i="4"/>
  <c r="D144" i="4" s="1"/>
  <c r="H145" i="4"/>
  <c r="D145" i="4" s="1"/>
  <c r="J161" i="4"/>
  <c r="B161" i="4" s="1"/>
  <c r="J162" i="4"/>
  <c r="B162" i="4"/>
  <c r="B167" i="4"/>
  <c r="F170" i="4"/>
  <c r="C174" i="4"/>
  <c r="E174" i="4"/>
  <c r="E175" i="4"/>
  <c r="E176" i="4"/>
  <c r="C179" i="4"/>
  <c r="C180" i="4"/>
  <c r="C181" i="4"/>
  <c r="F11" i="4" s="1"/>
  <c r="E11" i="4" s="1"/>
  <c r="B183" i="4"/>
  <c r="B184" i="4" s="1"/>
  <c r="G97" i="4"/>
  <c r="Q14" i="9"/>
  <c r="Q13" i="9" s="1"/>
  <c r="O15" i="26"/>
  <c r="X13" i="26" s="1"/>
  <c r="O19" i="33"/>
  <c r="AA20" i="18"/>
  <c r="O20" i="18" s="1"/>
  <c r="AA22" i="14"/>
  <c r="C22" i="14" s="1"/>
  <c r="X20" i="15"/>
  <c r="X21" i="15"/>
  <c r="X22" i="15"/>
  <c r="O16" i="15"/>
  <c r="O18" i="17"/>
  <c r="C31" i="19"/>
  <c r="O31" i="19"/>
  <c r="AA15" i="18"/>
  <c r="O16" i="20"/>
  <c r="O23" i="19"/>
  <c r="O24" i="19"/>
  <c r="H103" i="6" s="1"/>
  <c r="O25" i="19"/>
  <c r="AF21" i="19" s="1"/>
  <c r="B65" i="4"/>
  <c r="AA15" i="21"/>
  <c r="AA23" i="21" s="1"/>
  <c r="C23" i="21" s="1"/>
  <c r="AA26" i="21"/>
  <c r="O27" i="21"/>
  <c r="AA33" i="21"/>
  <c r="O33" i="21" s="1"/>
  <c r="O24" i="21"/>
  <c r="O20" i="22" s="1"/>
  <c r="O31" i="21"/>
  <c r="O20" i="21"/>
  <c r="O18" i="23"/>
  <c r="O25" i="27"/>
  <c r="AA15" i="31"/>
  <c r="C15" i="31" s="1"/>
  <c r="F47" i="6"/>
  <c r="F48" i="6"/>
  <c r="F16" i="6"/>
  <c r="F17" i="6"/>
  <c r="F18" i="6"/>
  <c r="Y16" i="15"/>
  <c r="Y20" i="15"/>
  <c r="Y21" i="15"/>
  <c r="Y22" i="15"/>
  <c r="Y25" i="15"/>
  <c r="Y20" i="16"/>
  <c r="Y21" i="16"/>
  <c r="Y24" i="16"/>
  <c r="F55" i="6"/>
  <c r="F263" i="6"/>
  <c r="F279" i="6"/>
  <c r="R279" i="6" s="1"/>
  <c r="R20" i="21"/>
  <c r="O22" i="33"/>
  <c r="AF23" i="33" s="1"/>
  <c r="F40" i="6"/>
  <c r="W18" i="9"/>
  <c r="F136" i="6" s="1"/>
  <c r="F152" i="6"/>
  <c r="S20" i="21"/>
  <c r="S18" i="23" s="1"/>
  <c r="F41" i="6"/>
  <c r="F153" i="6"/>
  <c r="T20" i="21"/>
  <c r="T18" i="23" s="1"/>
  <c r="U20" i="21"/>
  <c r="U18" i="23" s="1"/>
  <c r="W20" i="15"/>
  <c r="W21" i="15"/>
  <c r="W22" i="15"/>
  <c r="R16" i="15"/>
  <c r="R20" i="15"/>
  <c r="R21" i="15"/>
  <c r="R22" i="15"/>
  <c r="R20" i="16"/>
  <c r="R21" i="16"/>
  <c r="R18" i="23"/>
  <c r="S16" i="15"/>
  <c r="S20" i="15"/>
  <c r="S21" i="15"/>
  <c r="S22" i="15"/>
  <c r="S20" i="16"/>
  <c r="S21" i="16"/>
  <c r="T16" i="15"/>
  <c r="T20" i="15"/>
  <c r="T21" i="15"/>
  <c r="T22" i="15"/>
  <c r="T20" i="16"/>
  <c r="T21" i="16"/>
  <c r="U16" i="15"/>
  <c r="U20" i="15"/>
  <c r="U21" i="15"/>
  <c r="U22" i="15"/>
  <c r="U25" i="15"/>
  <c r="U26" i="15"/>
  <c r="U20" i="16"/>
  <c r="U21" i="16"/>
  <c r="U24" i="16"/>
  <c r="U25" i="16"/>
  <c r="AF20" i="17"/>
  <c r="AF20" i="33"/>
  <c r="F262" i="6"/>
  <c r="O15" i="30" s="1"/>
  <c r="AF20" i="30" s="1"/>
  <c r="AF20" i="24"/>
  <c r="AF21" i="24"/>
  <c r="AF24" i="18"/>
  <c r="AF24" i="24"/>
  <c r="AF24" i="27"/>
  <c r="X22" i="24"/>
  <c r="X23" i="24"/>
  <c r="R263" i="6"/>
  <c r="E55" i="6"/>
  <c r="C20" i="18"/>
  <c r="AE21" i="18" s="1"/>
  <c r="G87" i="6"/>
  <c r="C20" i="22"/>
  <c r="E136" i="6"/>
  <c r="E263" i="6"/>
  <c r="Q263" i="6" s="1"/>
  <c r="C16" i="15"/>
  <c r="C13" i="17"/>
  <c r="E30" i="41" s="1"/>
  <c r="C13" i="33"/>
  <c r="E31" i="41" s="1"/>
  <c r="C23" i="19"/>
  <c r="C24" i="19"/>
  <c r="AE21" i="19" s="1"/>
  <c r="C25" i="19"/>
  <c r="L22" i="15"/>
  <c r="C27" i="34"/>
  <c r="C28" i="34"/>
  <c r="L13" i="26"/>
  <c r="L16" i="33"/>
  <c r="E75" i="6" s="1"/>
  <c r="L22" i="24"/>
  <c r="L23" i="24"/>
  <c r="M16" i="15"/>
  <c r="M21" i="15"/>
  <c r="M22" i="15"/>
  <c r="M25" i="15"/>
  <c r="M21" i="16"/>
  <c r="M24" i="16"/>
  <c r="M13" i="17"/>
  <c r="M13" i="33"/>
  <c r="AE13" i="33"/>
  <c r="K22" i="15"/>
  <c r="K13" i="26"/>
  <c r="K16" i="33"/>
  <c r="F16" i="15"/>
  <c r="F21" i="15"/>
  <c r="F22" i="15"/>
  <c r="J22" i="15" s="1"/>
  <c r="F21" i="16"/>
  <c r="F13" i="17"/>
  <c r="F13" i="26"/>
  <c r="F13" i="33"/>
  <c r="AE15" i="33" s="1"/>
  <c r="E152" i="6"/>
  <c r="G16" i="15"/>
  <c r="G21" i="15"/>
  <c r="G22" i="15"/>
  <c r="G21" i="16"/>
  <c r="G13" i="17"/>
  <c r="AE16" i="17" s="1"/>
  <c r="G13" i="33"/>
  <c r="AE16" i="33" s="1"/>
  <c r="H16" i="15"/>
  <c r="H21" i="15"/>
  <c r="H22" i="15"/>
  <c r="H21" i="16"/>
  <c r="H13" i="17"/>
  <c r="J13" i="17" s="1"/>
  <c r="AE17" i="17"/>
  <c r="I16" i="15"/>
  <c r="I21" i="15"/>
  <c r="I22" i="15"/>
  <c r="I25" i="15"/>
  <c r="I21" i="16"/>
  <c r="I24" i="16"/>
  <c r="I13" i="17"/>
  <c r="AE18" i="17" s="1"/>
  <c r="AE20" i="17"/>
  <c r="AE20" i="33"/>
  <c r="AE20" i="26"/>
  <c r="AE20" i="24"/>
  <c r="AE21" i="33"/>
  <c r="AE21" i="24"/>
  <c r="K71" i="6"/>
  <c r="K71" i="40" s="1"/>
  <c r="AE23" i="17"/>
  <c r="AE23" i="33"/>
  <c r="AE24" i="18"/>
  <c r="AE24" i="19"/>
  <c r="AE24" i="24"/>
  <c r="AE24" i="27"/>
  <c r="J45" i="41"/>
  <c r="D26" i="38"/>
  <c r="C15" i="41"/>
  <c r="J15" i="41"/>
  <c r="C7" i="41"/>
  <c r="J7" i="41"/>
  <c r="X16" i="33"/>
  <c r="F75" i="6" s="1"/>
  <c r="W16" i="33"/>
  <c r="H13" i="33"/>
  <c r="AE17" i="33" s="1"/>
  <c r="I13" i="33"/>
  <c r="AE18" i="33"/>
  <c r="R13" i="33"/>
  <c r="C30" i="38"/>
  <c r="J13" i="26"/>
  <c r="K19" i="33"/>
  <c r="K22" i="33"/>
  <c r="A47" i="33"/>
  <c r="L19" i="33"/>
  <c r="G75" i="6" s="1"/>
  <c r="L22" i="33"/>
  <c r="D29" i="38"/>
  <c r="J28" i="41" s="1"/>
  <c r="D30" i="38"/>
  <c r="J29" i="41" s="1"/>
  <c r="W18" i="17"/>
  <c r="W13" i="17" s="1"/>
  <c r="X18" i="17"/>
  <c r="X13" i="17" s="1"/>
  <c r="K18" i="17"/>
  <c r="L18" i="17"/>
  <c r="X19" i="33"/>
  <c r="X22" i="33"/>
  <c r="AA15" i="27"/>
  <c r="C15" i="27"/>
  <c r="AA16" i="27"/>
  <c r="C16" i="27" s="1"/>
  <c r="AA17" i="27"/>
  <c r="C17" i="27" s="1"/>
  <c r="AA18" i="27"/>
  <c r="C18" i="27" s="1"/>
  <c r="AA19" i="27"/>
  <c r="C19" i="27" s="1"/>
  <c r="E215" i="6" s="1"/>
  <c r="D15" i="19"/>
  <c r="C15" i="19" s="1"/>
  <c r="D16" i="19"/>
  <c r="C16" i="19" s="1"/>
  <c r="O16" i="19" s="1"/>
  <c r="D17" i="19"/>
  <c r="C17" i="19" s="1"/>
  <c r="D15" i="18"/>
  <c r="K120" i="6"/>
  <c r="K121" i="6"/>
  <c r="K122" i="6"/>
  <c r="D15" i="20"/>
  <c r="C15" i="20" s="1"/>
  <c r="D16" i="20"/>
  <c r="C16" i="20" s="1"/>
  <c r="K167" i="6"/>
  <c r="K231" i="6"/>
  <c r="Q231" i="6" s="1"/>
  <c r="K279" i="6"/>
  <c r="K278" i="6" s="1"/>
  <c r="C18" i="31" s="1"/>
  <c r="H13" i="31" s="1"/>
  <c r="K15" i="29"/>
  <c r="K27" i="22"/>
  <c r="K28" i="23"/>
  <c r="K128" i="6"/>
  <c r="K129" i="6"/>
  <c r="K130" i="6"/>
  <c r="Q130" i="6" s="1"/>
  <c r="K175" i="6"/>
  <c r="K239" i="6"/>
  <c r="K287" i="6"/>
  <c r="Q287" i="6" s="1"/>
  <c r="M15" i="29"/>
  <c r="G15" i="6"/>
  <c r="I15" i="6"/>
  <c r="L15" i="29"/>
  <c r="L27" i="22"/>
  <c r="N27" i="22" s="1"/>
  <c r="L28" i="23"/>
  <c r="K22" i="29"/>
  <c r="W22" i="29"/>
  <c r="L22" i="29"/>
  <c r="X22" i="29" s="1"/>
  <c r="G22" i="29"/>
  <c r="S22" i="29"/>
  <c r="F22" i="29"/>
  <c r="R22" i="29" s="1"/>
  <c r="V22" i="29" s="1"/>
  <c r="F23" i="29"/>
  <c r="R23" i="29"/>
  <c r="F24" i="29"/>
  <c r="J24" i="29" s="1"/>
  <c r="C22" i="29"/>
  <c r="K168" i="6"/>
  <c r="K232" i="6"/>
  <c r="K232" i="40" s="1"/>
  <c r="K280" i="6"/>
  <c r="I8" i="6"/>
  <c r="K176" i="6"/>
  <c r="K240" i="6"/>
  <c r="K288" i="6"/>
  <c r="E16" i="6"/>
  <c r="G16" i="6"/>
  <c r="I16" i="6"/>
  <c r="A45" i="14"/>
  <c r="AA23" i="14" s="1"/>
  <c r="AA22" i="15" s="1"/>
  <c r="C23" i="14"/>
  <c r="A54" i="21"/>
  <c r="AA32" i="21" s="1"/>
  <c r="C32" i="21" s="1"/>
  <c r="K169" i="6"/>
  <c r="K233" i="6"/>
  <c r="K281" i="6"/>
  <c r="I9" i="6"/>
  <c r="K177" i="6"/>
  <c r="K241" i="6"/>
  <c r="K289" i="6"/>
  <c r="G17" i="6"/>
  <c r="I17" i="6"/>
  <c r="K170" i="6"/>
  <c r="K234" i="6"/>
  <c r="K282" i="6"/>
  <c r="I10" i="6"/>
  <c r="K178" i="6"/>
  <c r="K242" i="6"/>
  <c r="K242" i="40" s="1"/>
  <c r="K290" i="6"/>
  <c r="G18" i="6"/>
  <c r="I18" i="6"/>
  <c r="C15" i="28"/>
  <c r="G15" i="28"/>
  <c r="G13" i="28" s="1"/>
  <c r="AE16" i="28" s="1"/>
  <c r="H15" i="28"/>
  <c r="H13" i="28" s="1"/>
  <c r="AE17" i="28" s="1"/>
  <c r="I15" i="28"/>
  <c r="I13" i="28" s="1"/>
  <c r="AE18" i="28" s="1"/>
  <c r="F20" i="22"/>
  <c r="F25" i="21"/>
  <c r="J25" i="21" s="1"/>
  <c r="F21" i="22"/>
  <c r="F22" i="22"/>
  <c r="J22" i="22" s="1"/>
  <c r="F23" i="22"/>
  <c r="J23" i="22" s="1"/>
  <c r="F27" i="22"/>
  <c r="O19" i="21"/>
  <c r="O17" i="23" s="1"/>
  <c r="C13" i="28"/>
  <c r="E41" i="41" s="1"/>
  <c r="H28" i="22"/>
  <c r="P22" i="14"/>
  <c r="O22" i="14" s="1"/>
  <c r="O23" i="14"/>
  <c r="O17" i="16"/>
  <c r="O15" i="28"/>
  <c r="AF23" i="28" s="1"/>
  <c r="P21" i="17"/>
  <c r="O28" i="34"/>
  <c r="P23" i="21"/>
  <c r="O23" i="21" s="1"/>
  <c r="O26" i="24"/>
  <c r="T26" i="24" s="1"/>
  <c r="T13" i="24" s="1"/>
  <c r="O15" i="25"/>
  <c r="P15" i="27"/>
  <c r="O15" i="27" s="1"/>
  <c r="P16" i="27"/>
  <c r="P17" i="27"/>
  <c r="O17" i="27" s="1"/>
  <c r="P18" i="27"/>
  <c r="P19" i="27"/>
  <c r="O13" i="28"/>
  <c r="L41" i="41" s="1"/>
  <c r="O15" i="29"/>
  <c r="O22" i="29"/>
  <c r="A20" i="30"/>
  <c r="AA16" i="30" s="1"/>
  <c r="P15" i="31"/>
  <c r="O15" i="31" s="1"/>
  <c r="AF20" i="31" s="1"/>
  <c r="J8" i="6"/>
  <c r="N8" i="6"/>
  <c r="H16" i="6"/>
  <c r="J16" i="6"/>
  <c r="N16" i="6"/>
  <c r="T17" i="16"/>
  <c r="T28" i="22"/>
  <c r="T29" i="22"/>
  <c r="V29" i="22" s="1"/>
  <c r="T19" i="21"/>
  <c r="T17" i="23"/>
  <c r="T29" i="23"/>
  <c r="T30" i="23"/>
  <c r="J9" i="6"/>
  <c r="H17" i="6"/>
  <c r="J17" i="6"/>
  <c r="N17" i="6"/>
  <c r="U16" i="22"/>
  <c r="U19" i="22"/>
  <c r="V19" i="22" s="1"/>
  <c r="U26" i="24"/>
  <c r="U13" i="24" s="1"/>
  <c r="J10" i="6"/>
  <c r="N130" i="6"/>
  <c r="H18" i="6"/>
  <c r="J18" i="6"/>
  <c r="R25" i="21"/>
  <c r="R20" i="22"/>
  <c r="R22" i="22"/>
  <c r="R23" i="22"/>
  <c r="V23" i="22" s="1"/>
  <c r="R26" i="22"/>
  <c r="R27" i="22"/>
  <c r="R22" i="23"/>
  <c r="R23" i="23"/>
  <c r="R24" i="23"/>
  <c r="V24" i="23" s="1"/>
  <c r="R27" i="23"/>
  <c r="R28" i="23"/>
  <c r="V28" i="23" s="1"/>
  <c r="X15" i="29"/>
  <c r="C26" i="24"/>
  <c r="H26" i="24" s="1"/>
  <c r="H13" i="24" s="1"/>
  <c r="I16" i="22"/>
  <c r="J16" i="22" s="1"/>
  <c r="I19" i="22"/>
  <c r="J19" i="22" s="1"/>
  <c r="I26" i="24"/>
  <c r="I13" i="24" s="1"/>
  <c r="K16" i="22"/>
  <c r="K19" i="22"/>
  <c r="K20" i="22"/>
  <c r="K25" i="21"/>
  <c r="K17" i="23"/>
  <c r="K18" i="23"/>
  <c r="N18" i="23" s="1"/>
  <c r="K21" i="23"/>
  <c r="W25" i="21"/>
  <c r="W16" i="22"/>
  <c r="Z16" i="22" s="1"/>
  <c r="W19" i="22"/>
  <c r="Z19" i="22" s="1"/>
  <c r="W20" i="22"/>
  <c r="W26" i="22"/>
  <c r="W27" i="22"/>
  <c r="W17" i="23"/>
  <c r="W18" i="23"/>
  <c r="W21" i="23"/>
  <c r="W27" i="23"/>
  <c r="W28" i="23"/>
  <c r="W15" i="29"/>
  <c r="W22" i="33"/>
  <c r="W19" i="33"/>
  <c r="W13" i="33" s="1"/>
  <c r="Y15" i="22"/>
  <c r="Y15" i="29"/>
  <c r="H15" i="6"/>
  <c r="J15" i="6"/>
  <c r="X25" i="21"/>
  <c r="X22" i="23" s="1"/>
  <c r="X20" i="22"/>
  <c r="X22" i="22"/>
  <c r="Z22" i="22" s="1"/>
  <c r="X23" i="22"/>
  <c r="Z23" i="22" s="1"/>
  <c r="X26" i="22"/>
  <c r="X27" i="22"/>
  <c r="X28" i="22"/>
  <c r="Z28" i="22" s="1"/>
  <c r="X29" i="22"/>
  <c r="Z29" i="22" s="1"/>
  <c r="X23" i="23"/>
  <c r="X24" i="23"/>
  <c r="X27" i="23"/>
  <c r="X28" i="23"/>
  <c r="X29" i="23"/>
  <c r="Z29" i="23" s="1"/>
  <c r="X30" i="23"/>
  <c r="L25" i="21"/>
  <c r="L21" i="22" s="1"/>
  <c r="L20" i="22"/>
  <c r="L22" i="22"/>
  <c r="L23" i="22"/>
  <c r="L28" i="22"/>
  <c r="L23" i="23"/>
  <c r="L24" i="23"/>
  <c r="L29" i="23"/>
  <c r="N29" i="23" s="1"/>
  <c r="T20" i="9"/>
  <c r="AE23" i="28"/>
  <c r="AF23" i="25"/>
  <c r="AE23" i="24"/>
  <c r="F26" i="24"/>
  <c r="F13" i="24" s="1"/>
  <c r="F15" i="28"/>
  <c r="F13" i="28" s="1"/>
  <c r="AE15" i="28" s="1"/>
  <c r="M26" i="24"/>
  <c r="M13" i="24" s="1"/>
  <c r="M15" i="28"/>
  <c r="M13" i="28" s="1"/>
  <c r="AE13" i="28"/>
  <c r="K26" i="24"/>
  <c r="K13" i="24" s="1"/>
  <c r="K15" i="28"/>
  <c r="L26" i="24"/>
  <c r="L13" i="24" s="1"/>
  <c r="L15" i="28"/>
  <c r="L13" i="28" s="1"/>
  <c r="AE11" i="28" s="1"/>
  <c r="AA22" i="27"/>
  <c r="V15" i="26"/>
  <c r="J15" i="26"/>
  <c r="V24" i="29"/>
  <c r="V25" i="29"/>
  <c r="V26" i="29"/>
  <c r="V23" i="29"/>
  <c r="V15" i="29"/>
  <c r="V16" i="29"/>
  <c r="V17" i="29"/>
  <c r="V18" i="29"/>
  <c r="V19" i="29"/>
  <c r="V27" i="29"/>
  <c r="J23" i="29"/>
  <c r="J25" i="29"/>
  <c r="J15" i="29"/>
  <c r="J22" i="29"/>
  <c r="J16" i="29"/>
  <c r="J17" i="29"/>
  <c r="J18" i="29"/>
  <c r="J19" i="29"/>
  <c r="J26" i="29"/>
  <c r="V15" i="30"/>
  <c r="Z15" i="30"/>
  <c r="J15" i="30"/>
  <c r="V15" i="31"/>
  <c r="J15" i="31"/>
  <c r="V25" i="27"/>
  <c r="V15" i="27"/>
  <c r="V16" i="27"/>
  <c r="V17" i="27"/>
  <c r="V18" i="27"/>
  <c r="V19" i="27"/>
  <c r="Z15" i="27"/>
  <c r="Z16" i="27"/>
  <c r="Z17" i="27"/>
  <c r="Z18" i="27"/>
  <c r="Z19" i="27"/>
  <c r="J25" i="27"/>
  <c r="J15" i="27"/>
  <c r="J16" i="27"/>
  <c r="J17" i="27"/>
  <c r="J18" i="27"/>
  <c r="J19" i="27"/>
  <c r="V15" i="25"/>
  <c r="V16" i="25"/>
  <c r="V19" i="25"/>
  <c r="Z15" i="25"/>
  <c r="Z16" i="25"/>
  <c r="Z19" i="25"/>
  <c r="J15" i="25"/>
  <c r="J16" i="25"/>
  <c r="J19" i="25"/>
  <c r="V15" i="24"/>
  <c r="V16" i="24"/>
  <c r="V17" i="24"/>
  <c r="V20" i="24"/>
  <c r="V21" i="24"/>
  <c r="V22" i="24"/>
  <c r="V23" i="24"/>
  <c r="V30" i="24"/>
  <c r="V31" i="24"/>
  <c r="J15" i="24"/>
  <c r="J16" i="24"/>
  <c r="J17" i="24"/>
  <c r="J20" i="24"/>
  <c r="J21" i="24"/>
  <c r="J22" i="24"/>
  <c r="J23" i="24"/>
  <c r="J30" i="24"/>
  <c r="J31" i="24"/>
  <c r="V22" i="23"/>
  <c r="V23" i="23"/>
  <c r="V27" i="23"/>
  <c r="V29" i="23"/>
  <c r="V30" i="23"/>
  <c r="V16" i="22"/>
  <c r="V20" i="22"/>
  <c r="V22" i="22"/>
  <c r="V26" i="22"/>
  <c r="V27" i="22"/>
  <c r="Z20" i="22"/>
  <c r="J20" i="22"/>
  <c r="J21" i="22"/>
  <c r="J27" i="22"/>
  <c r="J28" i="22"/>
  <c r="V15" i="19"/>
  <c r="V16" i="19"/>
  <c r="V17" i="19"/>
  <c r="V23" i="19"/>
  <c r="V24" i="19"/>
  <c r="V25" i="19"/>
  <c r="V31" i="19"/>
  <c r="J15" i="19"/>
  <c r="J16" i="19"/>
  <c r="J17" i="19"/>
  <c r="J23" i="19"/>
  <c r="J24" i="19"/>
  <c r="J25" i="19"/>
  <c r="J31" i="19"/>
  <c r="V15" i="34"/>
  <c r="V21" i="34"/>
  <c r="V27" i="34"/>
  <c r="V15" i="33"/>
  <c r="V16" i="33"/>
  <c r="V19" i="33"/>
  <c r="V22" i="33"/>
  <c r="Z15" i="33"/>
  <c r="Z16" i="33"/>
  <c r="Z19" i="33"/>
  <c r="J15" i="33"/>
  <c r="J16" i="33"/>
  <c r="J19" i="33"/>
  <c r="J22" i="33"/>
  <c r="V24" i="21"/>
  <c r="V26" i="21"/>
  <c r="V27" i="21"/>
  <c r="V30" i="21"/>
  <c r="V31" i="21"/>
  <c r="V32" i="21"/>
  <c r="V33" i="21"/>
  <c r="V15" i="17"/>
  <c r="V18" i="17"/>
  <c r="V21" i="17"/>
  <c r="J15" i="17"/>
  <c r="J18" i="17"/>
  <c r="J24" i="21"/>
  <c r="J26" i="21"/>
  <c r="J27" i="21"/>
  <c r="J31" i="21"/>
  <c r="J32" i="21"/>
  <c r="AA25" i="33"/>
  <c r="P25" i="33"/>
  <c r="C25" i="33"/>
  <c r="B5" i="4"/>
  <c r="V17" i="14"/>
  <c r="V21" i="14"/>
  <c r="V22" i="14"/>
  <c r="V23" i="14"/>
  <c r="P32" i="14"/>
  <c r="S28" i="6"/>
  <c r="S29" i="6"/>
  <c r="S30" i="6"/>
  <c r="S23" i="6"/>
  <c r="S24" i="6"/>
  <c r="S25" i="6"/>
  <c r="S26" i="6"/>
  <c r="S31" i="6"/>
  <c r="S32" i="6"/>
  <c r="S33" i="6"/>
  <c r="S34" i="6"/>
  <c r="S44" i="6"/>
  <c r="S45" i="6"/>
  <c r="S46" i="6"/>
  <c r="S39" i="6"/>
  <c r="S40" i="6"/>
  <c r="S41" i="6"/>
  <c r="S42" i="6"/>
  <c r="S47" i="6"/>
  <c r="S48" i="6"/>
  <c r="S49" i="6"/>
  <c r="S50" i="6"/>
  <c r="S60" i="6"/>
  <c r="S61" i="6"/>
  <c r="S62" i="6"/>
  <c r="S55" i="6"/>
  <c r="R56" i="6"/>
  <c r="Q56" i="6"/>
  <c r="S56" i="6"/>
  <c r="R57" i="6"/>
  <c r="Q57" i="6"/>
  <c r="S57" i="6"/>
  <c r="R58" i="6"/>
  <c r="Q58" i="6"/>
  <c r="S58" i="6"/>
  <c r="R63" i="6"/>
  <c r="Q63" i="6"/>
  <c r="S63" i="6"/>
  <c r="R64" i="6"/>
  <c r="Q64" i="6"/>
  <c r="S64" i="6"/>
  <c r="R65" i="6"/>
  <c r="Q65" i="6"/>
  <c r="S65" i="6"/>
  <c r="R66" i="6"/>
  <c r="Q66" i="6"/>
  <c r="S66" i="6"/>
  <c r="G75" i="40"/>
  <c r="J75" i="40"/>
  <c r="N75" i="40"/>
  <c r="E76" i="40"/>
  <c r="G76" i="40"/>
  <c r="J76" i="40"/>
  <c r="I76" i="40"/>
  <c r="K76" i="40"/>
  <c r="N76" i="40"/>
  <c r="M76" i="40"/>
  <c r="O76" i="40"/>
  <c r="S76" i="6"/>
  <c r="S76" i="40"/>
  <c r="H77" i="40"/>
  <c r="G77" i="40"/>
  <c r="J77" i="40"/>
  <c r="L77" i="40"/>
  <c r="K77" i="40"/>
  <c r="N77" i="40"/>
  <c r="P77" i="40"/>
  <c r="O77" i="40"/>
  <c r="S77" i="6"/>
  <c r="S77" i="40" s="1"/>
  <c r="E78" i="40"/>
  <c r="H78" i="40"/>
  <c r="G78" i="40"/>
  <c r="I78" i="40"/>
  <c r="L78" i="40"/>
  <c r="K78" i="40"/>
  <c r="M78" i="40"/>
  <c r="P78" i="40"/>
  <c r="O78" i="40"/>
  <c r="S78" i="6"/>
  <c r="S78" i="40"/>
  <c r="I71" i="40"/>
  <c r="M71" i="40"/>
  <c r="P71" i="40"/>
  <c r="O71" i="40"/>
  <c r="S71" i="6"/>
  <c r="S71" i="40" s="1"/>
  <c r="E72" i="40"/>
  <c r="H72" i="40"/>
  <c r="J72" i="40"/>
  <c r="I72" i="40"/>
  <c r="L72" i="40"/>
  <c r="N72" i="40"/>
  <c r="M72" i="40"/>
  <c r="P72" i="40"/>
  <c r="R72" i="6"/>
  <c r="R72" i="40"/>
  <c r="Q72" i="6"/>
  <c r="Q72" i="40" s="1"/>
  <c r="S72" i="6"/>
  <c r="S72" i="40" s="1"/>
  <c r="E73" i="40"/>
  <c r="G73" i="40"/>
  <c r="J73" i="40"/>
  <c r="I73" i="40"/>
  <c r="K73" i="40"/>
  <c r="N73" i="40"/>
  <c r="M73" i="40"/>
  <c r="O73" i="40"/>
  <c r="R73" i="6"/>
  <c r="R73" i="40"/>
  <c r="Q73" i="6"/>
  <c r="Q73" i="40" s="1"/>
  <c r="S73" i="6"/>
  <c r="S73" i="40"/>
  <c r="H74" i="40"/>
  <c r="G74" i="40"/>
  <c r="J74" i="40"/>
  <c r="L74" i="40"/>
  <c r="K74" i="40"/>
  <c r="N74" i="40"/>
  <c r="P74" i="40"/>
  <c r="O74" i="40"/>
  <c r="R74" i="6"/>
  <c r="R74" i="40" s="1"/>
  <c r="Q74" i="6"/>
  <c r="Q74" i="40" s="1"/>
  <c r="S74" i="6"/>
  <c r="S74" i="40" s="1"/>
  <c r="E79" i="40"/>
  <c r="H79" i="40"/>
  <c r="G79" i="40"/>
  <c r="I79" i="40"/>
  <c r="L79" i="40"/>
  <c r="K79" i="40"/>
  <c r="M79" i="40"/>
  <c r="P79" i="40"/>
  <c r="O79" i="40"/>
  <c r="R79" i="6"/>
  <c r="R79" i="40" s="1"/>
  <c r="Q79" i="6"/>
  <c r="Q79" i="40" s="1"/>
  <c r="S79" i="6"/>
  <c r="S79" i="40" s="1"/>
  <c r="E80" i="40"/>
  <c r="H80" i="40"/>
  <c r="J80" i="40"/>
  <c r="I80" i="40"/>
  <c r="L80" i="40"/>
  <c r="N80" i="40"/>
  <c r="M80" i="40"/>
  <c r="P80" i="40"/>
  <c r="R80" i="6"/>
  <c r="R80" i="40" s="1"/>
  <c r="Q80" i="6"/>
  <c r="Q80" i="40" s="1"/>
  <c r="S80" i="6"/>
  <c r="S80" i="40" s="1"/>
  <c r="E81" i="40"/>
  <c r="G81" i="40"/>
  <c r="J81" i="40"/>
  <c r="I81" i="40"/>
  <c r="K81" i="40"/>
  <c r="N81" i="40"/>
  <c r="M81" i="40"/>
  <c r="O81" i="40"/>
  <c r="R81" i="6"/>
  <c r="R81" i="40" s="1"/>
  <c r="Q81" i="6"/>
  <c r="Q81" i="40"/>
  <c r="S81" i="6"/>
  <c r="S81" i="40" s="1"/>
  <c r="H82" i="40"/>
  <c r="G82" i="40"/>
  <c r="J82" i="40"/>
  <c r="L82" i="40"/>
  <c r="K82" i="40"/>
  <c r="N82" i="40"/>
  <c r="P82" i="40"/>
  <c r="O82" i="40"/>
  <c r="R82" i="6"/>
  <c r="R82" i="40" s="1"/>
  <c r="Q82" i="6"/>
  <c r="Q82" i="40"/>
  <c r="S82" i="6"/>
  <c r="S82" i="40" s="1"/>
  <c r="F76" i="40"/>
  <c r="F77" i="40"/>
  <c r="F78" i="40"/>
  <c r="F73" i="40"/>
  <c r="F74" i="40"/>
  <c r="F79" i="40"/>
  <c r="F81" i="40"/>
  <c r="F82" i="40"/>
  <c r="A11" i="2"/>
  <c r="P30" i="18"/>
  <c r="S92" i="6"/>
  <c r="S93" i="6"/>
  <c r="S94" i="6"/>
  <c r="S87" i="6"/>
  <c r="S88" i="6"/>
  <c r="S89" i="6"/>
  <c r="S90" i="6"/>
  <c r="S95" i="6"/>
  <c r="S96" i="6"/>
  <c r="S97" i="6"/>
  <c r="S98" i="6"/>
  <c r="P35" i="19"/>
  <c r="S108" i="6"/>
  <c r="S109" i="6"/>
  <c r="S110" i="6"/>
  <c r="S103" i="6"/>
  <c r="S104" i="6"/>
  <c r="S105" i="6"/>
  <c r="S106" i="6"/>
  <c r="S111" i="6"/>
  <c r="S112" i="6"/>
  <c r="S113" i="6"/>
  <c r="S114" i="6"/>
  <c r="AA28" i="20"/>
  <c r="O28" i="20" s="1"/>
  <c r="P123" i="6" s="1"/>
  <c r="P118" i="6" s="1"/>
  <c r="P28" i="20"/>
  <c r="C28" i="20"/>
  <c r="O123" i="6" s="1"/>
  <c r="S124" i="6"/>
  <c r="S125" i="6"/>
  <c r="S126" i="6"/>
  <c r="S119" i="6"/>
  <c r="Q120" i="6"/>
  <c r="S120" i="6"/>
  <c r="Q121" i="6"/>
  <c r="S121" i="6"/>
  <c r="S122" i="6"/>
  <c r="S127" i="6"/>
  <c r="Q128" i="6"/>
  <c r="S128" i="6"/>
  <c r="Q129" i="6"/>
  <c r="S129" i="6"/>
  <c r="S130" i="6"/>
  <c r="G62" i="4"/>
  <c r="G63" i="4"/>
  <c r="G64" i="4"/>
  <c r="AA39" i="21"/>
  <c r="C39" i="21" s="1"/>
  <c r="P39" i="21"/>
  <c r="O39" i="21" s="1"/>
  <c r="S140" i="6"/>
  <c r="S141" i="6"/>
  <c r="S142" i="6"/>
  <c r="S135" i="6"/>
  <c r="S136" i="6"/>
  <c r="S137" i="6"/>
  <c r="S138" i="6"/>
  <c r="S143" i="6"/>
  <c r="S144" i="6"/>
  <c r="S145" i="6"/>
  <c r="S146" i="6"/>
  <c r="S156" i="6"/>
  <c r="S157" i="6"/>
  <c r="S158" i="6"/>
  <c r="S151" i="6"/>
  <c r="S152" i="6"/>
  <c r="S153" i="6"/>
  <c r="S154" i="6"/>
  <c r="S159" i="6"/>
  <c r="S160" i="6"/>
  <c r="S161" i="6"/>
  <c r="S162" i="6"/>
  <c r="G14" i="4"/>
  <c r="I171" i="40" s="1"/>
  <c r="E171" i="40"/>
  <c r="J171" i="40"/>
  <c r="L171" i="40"/>
  <c r="K171" i="40"/>
  <c r="N171" i="40"/>
  <c r="P171" i="40"/>
  <c r="O171" i="40"/>
  <c r="S171" i="6"/>
  <c r="S171" i="40" s="1"/>
  <c r="E172" i="40"/>
  <c r="H172" i="40"/>
  <c r="G172" i="40"/>
  <c r="J172" i="40"/>
  <c r="I172" i="40"/>
  <c r="L172" i="40"/>
  <c r="K172" i="40"/>
  <c r="N172" i="40"/>
  <c r="M172" i="40"/>
  <c r="P172" i="40"/>
  <c r="O172" i="40"/>
  <c r="S172" i="6"/>
  <c r="S172" i="40" s="1"/>
  <c r="E173" i="40"/>
  <c r="H173" i="40"/>
  <c r="G173" i="40"/>
  <c r="J173" i="40"/>
  <c r="I173" i="40"/>
  <c r="L173" i="40"/>
  <c r="K173" i="40"/>
  <c r="N173" i="40"/>
  <c r="M173" i="40"/>
  <c r="P173" i="40"/>
  <c r="O173" i="40"/>
  <c r="S173" i="6"/>
  <c r="S173" i="40"/>
  <c r="E174" i="40"/>
  <c r="H174" i="40"/>
  <c r="G174" i="40"/>
  <c r="J174" i="40"/>
  <c r="I174" i="40"/>
  <c r="L174" i="40"/>
  <c r="K174" i="40"/>
  <c r="N174" i="40"/>
  <c r="M174" i="40"/>
  <c r="P174" i="40"/>
  <c r="O174" i="40"/>
  <c r="S174" i="6"/>
  <c r="S174" i="40"/>
  <c r="E167" i="40"/>
  <c r="J167" i="40"/>
  <c r="I167" i="40"/>
  <c r="L167" i="40"/>
  <c r="K167" i="40"/>
  <c r="N167" i="40"/>
  <c r="M167" i="40"/>
  <c r="P167" i="40"/>
  <c r="O167" i="40"/>
  <c r="S167" i="6"/>
  <c r="S167" i="40"/>
  <c r="E168" i="40"/>
  <c r="H168" i="40"/>
  <c r="G168" i="40"/>
  <c r="J168" i="40"/>
  <c r="I168" i="40"/>
  <c r="L168" i="40"/>
  <c r="N168" i="40"/>
  <c r="M168" i="40"/>
  <c r="P168" i="40"/>
  <c r="O168" i="40"/>
  <c r="Q168" i="6"/>
  <c r="Q168" i="40" s="1"/>
  <c r="S168" i="6"/>
  <c r="S168" i="40" s="1"/>
  <c r="E169" i="40"/>
  <c r="H169" i="40"/>
  <c r="G169" i="40"/>
  <c r="J169" i="40"/>
  <c r="I169" i="40"/>
  <c r="L169" i="40"/>
  <c r="K169" i="40"/>
  <c r="N169" i="40"/>
  <c r="M169" i="40"/>
  <c r="P169" i="40"/>
  <c r="O169" i="40"/>
  <c r="Q169" i="6"/>
  <c r="Q169" i="40"/>
  <c r="S169" i="6"/>
  <c r="E170" i="40"/>
  <c r="H170" i="40"/>
  <c r="G170" i="40"/>
  <c r="J170" i="40"/>
  <c r="I170" i="40"/>
  <c r="L170" i="40"/>
  <c r="K170" i="40"/>
  <c r="N170" i="40"/>
  <c r="M170" i="40"/>
  <c r="P170" i="40"/>
  <c r="O170" i="40"/>
  <c r="Q170" i="6"/>
  <c r="Q170" i="40" s="1"/>
  <c r="S170" i="6"/>
  <c r="S170" i="40"/>
  <c r="E175" i="40"/>
  <c r="H175" i="40"/>
  <c r="G175" i="40"/>
  <c r="J175" i="40"/>
  <c r="I175" i="40"/>
  <c r="L175" i="40"/>
  <c r="K175" i="40"/>
  <c r="N175" i="40"/>
  <c r="M175" i="40"/>
  <c r="P175" i="40"/>
  <c r="O175" i="40"/>
  <c r="Q175" i="6"/>
  <c r="Q175" i="40"/>
  <c r="S175" i="6"/>
  <c r="S175" i="40" s="1"/>
  <c r="E176" i="40"/>
  <c r="H176" i="40"/>
  <c r="G176" i="40"/>
  <c r="J176" i="40"/>
  <c r="I176" i="40"/>
  <c r="L176" i="40"/>
  <c r="N176" i="40"/>
  <c r="M176" i="40"/>
  <c r="P176" i="40"/>
  <c r="O176" i="40"/>
  <c r="S176" i="6"/>
  <c r="S176" i="40" s="1"/>
  <c r="E177" i="40"/>
  <c r="H177" i="40"/>
  <c r="G177" i="40"/>
  <c r="J177" i="40"/>
  <c r="I177" i="40"/>
  <c r="L177" i="40"/>
  <c r="K177" i="40"/>
  <c r="N177" i="40"/>
  <c r="M177" i="40"/>
  <c r="P177" i="40"/>
  <c r="O177" i="40"/>
  <c r="Q177" i="6"/>
  <c r="Q177" i="40" s="1"/>
  <c r="S177" i="6"/>
  <c r="S177" i="40"/>
  <c r="E178" i="40"/>
  <c r="H178" i="40"/>
  <c r="G178" i="40"/>
  <c r="J178" i="40"/>
  <c r="I178" i="40"/>
  <c r="L178" i="40"/>
  <c r="K178" i="40"/>
  <c r="N178" i="40"/>
  <c r="M178" i="40"/>
  <c r="P178" i="40"/>
  <c r="O178" i="40"/>
  <c r="Q178" i="6"/>
  <c r="Q178" i="40" s="1"/>
  <c r="S178" i="6"/>
  <c r="S178" i="40" s="1"/>
  <c r="F172" i="40"/>
  <c r="F173" i="40"/>
  <c r="F174" i="40"/>
  <c r="F167" i="40"/>
  <c r="F168" i="40"/>
  <c r="F169" i="40"/>
  <c r="F170" i="40"/>
  <c r="F175" i="40"/>
  <c r="F176" i="40"/>
  <c r="F177" i="40"/>
  <c r="F178" i="40"/>
  <c r="F171" i="40"/>
  <c r="G15" i="4"/>
  <c r="J187" i="40" s="1"/>
  <c r="H187" i="40"/>
  <c r="G187" i="40"/>
  <c r="K187" i="40"/>
  <c r="N187" i="40"/>
  <c r="M187" i="40"/>
  <c r="O187" i="40"/>
  <c r="S187" i="6"/>
  <c r="S187" i="40"/>
  <c r="H188" i="40"/>
  <c r="G188" i="40"/>
  <c r="J188" i="40"/>
  <c r="L188" i="40"/>
  <c r="K188" i="40"/>
  <c r="N188" i="40"/>
  <c r="P188" i="40"/>
  <c r="O188" i="40"/>
  <c r="S188" i="6"/>
  <c r="S188" i="40" s="1"/>
  <c r="E189" i="40"/>
  <c r="H189" i="40"/>
  <c r="G189" i="40"/>
  <c r="I189" i="40"/>
  <c r="L189" i="40"/>
  <c r="K189" i="40"/>
  <c r="M189" i="40"/>
  <c r="P189" i="40"/>
  <c r="O189" i="40"/>
  <c r="S189" i="6"/>
  <c r="S189" i="40"/>
  <c r="E190" i="40"/>
  <c r="H190" i="40"/>
  <c r="J190" i="40"/>
  <c r="I190" i="40"/>
  <c r="L190" i="40"/>
  <c r="N190" i="40"/>
  <c r="M190" i="40"/>
  <c r="P190" i="40"/>
  <c r="S190" i="6"/>
  <c r="S190" i="40" s="1"/>
  <c r="E183" i="40"/>
  <c r="G183" i="40"/>
  <c r="J183" i="40"/>
  <c r="I183" i="40"/>
  <c r="K183" i="40"/>
  <c r="N183" i="40"/>
  <c r="M183" i="40"/>
  <c r="O183" i="40"/>
  <c r="R183" i="6"/>
  <c r="R183" i="40"/>
  <c r="Q183" i="6"/>
  <c r="Q183" i="40" s="1"/>
  <c r="S183" i="6"/>
  <c r="S183" i="40"/>
  <c r="H184" i="40"/>
  <c r="G184" i="40"/>
  <c r="J184" i="40"/>
  <c r="L184" i="40"/>
  <c r="K184" i="40"/>
  <c r="N184" i="40"/>
  <c r="P184" i="40"/>
  <c r="O184" i="40"/>
  <c r="R184" i="6"/>
  <c r="R184" i="40" s="1"/>
  <c r="Q184" i="6"/>
  <c r="Q184" i="40" s="1"/>
  <c r="S184" i="6"/>
  <c r="S184" i="40" s="1"/>
  <c r="E185" i="40"/>
  <c r="H185" i="40"/>
  <c r="G185" i="40"/>
  <c r="I185" i="40"/>
  <c r="L185" i="40"/>
  <c r="K185" i="40"/>
  <c r="M185" i="40"/>
  <c r="P185" i="40"/>
  <c r="O185" i="40"/>
  <c r="R185" i="6"/>
  <c r="R185" i="40" s="1"/>
  <c r="Q185" i="6"/>
  <c r="Q185" i="40"/>
  <c r="S185" i="6"/>
  <c r="S185" i="40" s="1"/>
  <c r="E186" i="40"/>
  <c r="H186" i="40"/>
  <c r="J186" i="40"/>
  <c r="I186" i="40"/>
  <c r="L186" i="40"/>
  <c r="N186" i="40"/>
  <c r="M186" i="40"/>
  <c r="P186" i="40"/>
  <c r="R186" i="6"/>
  <c r="R186" i="40"/>
  <c r="Q186" i="6"/>
  <c r="Q186" i="40" s="1"/>
  <c r="S186" i="6"/>
  <c r="S186" i="40"/>
  <c r="E191" i="40"/>
  <c r="G191" i="40"/>
  <c r="J191" i="40"/>
  <c r="I191" i="40"/>
  <c r="K191" i="40"/>
  <c r="N191" i="40"/>
  <c r="M191" i="40"/>
  <c r="O191" i="40"/>
  <c r="R191" i="6"/>
  <c r="R191" i="40"/>
  <c r="Q191" i="6"/>
  <c r="Q191" i="40"/>
  <c r="S191" i="6"/>
  <c r="S191" i="40"/>
  <c r="H192" i="40"/>
  <c r="G192" i="40"/>
  <c r="J192" i="40"/>
  <c r="L192" i="40"/>
  <c r="K192" i="40"/>
  <c r="N192" i="40"/>
  <c r="P192" i="40"/>
  <c r="O192" i="40"/>
  <c r="R192" i="6"/>
  <c r="R192" i="40" s="1"/>
  <c r="Q192" i="6"/>
  <c r="Q192" i="40"/>
  <c r="S192" i="6"/>
  <c r="S192" i="40" s="1"/>
  <c r="E193" i="40"/>
  <c r="H193" i="40"/>
  <c r="G193" i="40"/>
  <c r="I193" i="40"/>
  <c r="L193" i="40"/>
  <c r="K193" i="40"/>
  <c r="M193" i="40"/>
  <c r="P193" i="40"/>
  <c r="O193" i="40"/>
  <c r="R193" i="6"/>
  <c r="R193" i="40"/>
  <c r="Q193" i="6"/>
  <c r="Q193" i="40" s="1"/>
  <c r="S193" i="6"/>
  <c r="S193" i="40"/>
  <c r="E194" i="40"/>
  <c r="H194" i="40"/>
  <c r="J194" i="40"/>
  <c r="I194" i="40"/>
  <c r="L194" i="40"/>
  <c r="N194" i="40"/>
  <c r="M194" i="40"/>
  <c r="P194" i="40"/>
  <c r="R194" i="6"/>
  <c r="R194" i="40" s="1"/>
  <c r="Q194" i="6"/>
  <c r="Q194" i="40" s="1"/>
  <c r="S194" i="6"/>
  <c r="S194" i="40"/>
  <c r="F188" i="40"/>
  <c r="F190" i="40"/>
  <c r="F183" i="40"/>
  <c r="F184" i="40"/>
  <c r="F186" i="40"/>
  <c r="F191" i="40"/>
  <c r="F192" i="40"/>
  <c r="F194" i="40"/>
  <c r="G16" i="4"/>
  <c r="G203" i="40" s="1"/>
  <c r="H203" i="40"/>
  <c r="K203" i="40"/>
  <c r="N203" i="40"/>
  <c r="S203" i="6"/>
  <c r="E204" i="40"/>
  <c r="G204" i="40"/>
  <c r="M204" i="40"/>
  <c r="P204" i="40"/>
  <c r="S204" i="6"/>
  <c r="S204" i="40"/>
  <c r="E205" i="40"/>
  <c r="L205" i="40"/>
  <c r="N205" i="40"/>
  <c r="S205" i="6"/>
  <c r="S205" i="40"/>
  <c r="G206" i="40"/>
  <c r="N206" i="40"/>
  <c r="M206" i="40"/>
  <c r="S206" i="6"/>
  <c r="S206" i="40"/>
  <c r="H199" i="40"/>
  <c r="K199" i="40"/>
  <c r="N199" i="40"/>
  <c r="S199" i="6"/>
  <c r="E200" i="40"/>
  <c r="G200" i="40"/>
  <c r="N200" i="40"/>
  <c r="M200" i="40"/>
  <c r="R200" i="6"/>
  <c r="Q200" i="6"/>
  <c r="S200" i="6"/>
  <c r="S200" i="40" s="1"/>
  <c r="J201" i="40"/>
  <c r="L201" i="40"/>
  <c r="O201" i="40"/>
  <c r="R201" i="6"/>
  <c r="R201" i="40" s="1"/>
  <c r="Q201" i="6"/>
  <c r="S201" i="6"/>
  <c r="S201" i="40" s="1"/>
  <c r="E202" i="40"/>
  <c r="L202" i="40"/>
  <c r="M202" i="40"/>
  <c r="R202" i="6"/>
  <c r="R202" i="40"/>
  <c r="Q202" i="6"/>
  <c r="S202" i="6"/>
  <c r="S202" i="40"/>
  <c r="I207" i="40"/>
  <c r="L207" i="40"/>
  <c r="R207" i="6"/>
  <c r="R207" i="40"/>
  <c r="Q207" i="6"/>
  <c r="S207" i="6"/>
  <c r="S207" i="40"/>
  <c r="E208" i="40"/>
  <c r="K208" i="40"/>
  <c r="M208" i="40"/>
  <c r="R208" i="6"/>
  <c r="Q208" i="6"/>
  <c r="Q208" i="40"/>
  <c r="S208" i="6"/>
  <c r="G209" i="40"/>
  <c r="J209" i="40"/>
  <c r="P209" i="40"/>
  <c r="R209" i="6"/>
  <c r="R209" i="40" s="1"/>
  <c r="Q209" i="6"/>
  <c r="Q209" i="40" s="1"/>
  <c r="S209" i="6"/>
  <c r="E210" i="40"/>
  <c r="L210" i="40"/>
  <c r="K210" i="40"/>
  <c r="R210" i="6"/>
  <c r="R210" i="40"/>
  <c r="Q210" i="6"/>
  <c r="Q210" i="40" s="1"/>
  <c r="S210" i="6"/>
  <c r="S210" i="40"/>
  <c r="F207" i="40"/>
  <c r="F208" i="40"/>
  <c r="H219" i="40"/>
  <c r="G219" i="40"/>
  <c r="J219" i="40"/>
  <c r="I219" i="40"/>
  <c r="P28" i="27"/>
  <c r="O28" i="27"/>
  <c r="P29" i="27"/>
  <c r="O29" i="27" s="1"/>
  <c r="C28" i="27"/>
  <c r="C29" i="27"/>
  <c r="E220" i="40"/>
  <c r="H220" i="40"/>
  <c r="G220" i="40"/>
  <c r="J220" i="40"/>
  <c r="I220" i="40"/>
  <c r="N220" i="40"/>
  <c r="M220" i="40"/>
  <c r="P220" i="40"/>
  <c r="O220" i="40"/>
  <c r="S220" i="6"/>
  <c r="S220" i="40" s="1"/>
  <c r="E221" i="40"/>
  <c r="H221" i="40"/>
  <c r="G221" i="40"/>
  <c r="J221" i="40"/>
  <c r="I221" i="40"/>
  <c r="N221" i="40"/>
  <c r="M221" i="40"/>
  <c r="P221" i="40"/>
  <c r="O221" i="40"/>
  <c r="S221" i="6"/>
  <c r="S221" i="40" s="1"/>
  <c r="E222" i="40"/>
  <c r="H222" i="40"/>
  <c r="G222" i="40"/>
  <c r="J222" i="40"/>
  <c r="I222" i="40"/>
  <c r="M222" i="40"/>
  <c r="P222" i="40"/>
  <c r="O222" i="40"/>
  <c r="S222" i="6"/>
  <c r="S222" i="40"/>
  <c r="H215" i="40"/>
  <c r="G215" i="40"/>
  <c r="J215" i="40"/>
  <c r="I215" i="40"/>
  <c r="P215" i="40"/>
  <c r="O215" i="40"/>
  <c r="S215" i="6"/>
  <c r="S215" i="40" s="1"/>
  <c r="E216" i="40"/>
  <c r="H216" i="40"/>
  <c r="G216" i="40"/>
  <c r="J216" i="40"/>
  <c r="I216" i="40"/>
  <c r="N216" i="40"/>
  <c r="M216" i="40"/>
  <c r="P216" i="40"/>
  <c r="O216" i="40"/>
  <c r="S216" i="6"/>
  <c r="S216" i="40" s="1"/>
  <c r="E217" i="40"/>
  <c r="H217" i="40"/>
  <c r="G217" i="40"/>
  <c r="J217" i="40"/>
  <c r="I217" i="40"/>
  <c r="N217" i="40"/>
  <c r="M217" i="40"/>
  <c r="P217" i="40"/>
  <c r="O217" i="40"/>
  <c r="S217" i="6"/>
  <c r="S217" i="40"/>
  <c r="E218" i="40"/>
  <c r="H218" i="40"/>
  <c r="G218" i="40"/>
  <c r="J218" i="40"/>
  <c r="I218" i="40"/>
  <c r="N218" i="40"/>
  <c r="M218" i="40"/>
  <c r="P218" i="40"/>
  <c r="O218" i="40"/>
  <c r="S218" i="6"/>
  <c r="S218" i="40" s="1"/>
  <c r="E223" i="40"/>
  <c r="H223" i="40"/>
  <c r="G223" i="40"/>
  <c r="J223" i="40"/>
  <c r="I223" i="40"/>
  <c r="P223" i="40"/>
  <c r="O223" i="40"/>
  <c r="S223" i="6"/>
  <c r="S223" i="40"/>
  <c r="E224" i="40"/>
  <c r="H224" i="40"/>
  <c r="G224" i="40"/>
  <c r="J224" i="40"/>
  <c r="I224" i="40"/>
  <c r="N224" i="40"/>
  <c r="M224" i="40"/>
  <c r="P224" i="40"/>
  <c r="O224" i="40"/>
  <c r="S224" i="6"/>
  <c r="S224" i="40" s="1"/>
  <c r="E225" i="40"/>
  <c r="H225" i="40"/>
  <c r="G225" i="40"/>
  <c r="J225" i="40"/>
  <c r="I225" i="40"/>
  <c r="N225" i="40"/>
  <c r="M225" i="40"/>
  <c r="P225" i="40"/>
  <c r="O225" i="40"/>
  <c r="S225" i="6"/>
  <c r="S225" i="40" s="1"/>
  <c r="E226" i="40"/>
  <c r="H226" i="40"/>
  <c r="G226" i="40"/>
  <c r="J226" i="40"/>
  <c r="I226" i="40"/>
  <c r="M226" i="40"/>
  <c r="P226" i="40"/>
  <c r="O226" i="40"/>
  <c r="S226" i="6"/>
  <c r="S226" i="40" s="1"/>
  <c r="F220" i="40"/>
  <c r="F221" i="40"/>
  <c r="F222" i="40"/>
  <c r="F216" i="40"/>
  <c r="F217" i="40"/>
  <c r="F218" i="40"/>
  <c r="F223" i="40"/>
  <c r="F224" i="40"/>
  <c r="F225" i="40"/>
  <c r="F226" i="40"/>
  <c r="F18" i="4"/>
  <c r="F39" i="4" s="1"/>
  <c r="E235" i="40"/>
  <c r="H235" i="40"/>
  <c r="G235" i="40"/>
  <c r="J235" i="40"/>
  <c r="I235" i="40"/>
  <c r="L235" i="40"/>
  <c r="K235" i="40"/>
  <c r="N235" i="40"/>
  <c r="M235" i="40"/>
  <c r="P18" i="28"/>
  <c r="O18" i="28" s="1"/>
  <c r="C18" i="28"/>
  <c r="C12" i="28" s="1"/>
  <c r="E236" i="40"/>
  <c r="H236" i="40"/>
  <c r="G236" i="40"/>
  <c r="J236" i="40"/>
  <c r="I236" i="40"/>
  <c r="L236" i="40"/>
  <c r="K236" i="40"/>
  <c r="N236" i="40"/>
  <c r="M236" i="40"/>
  <c r="P236" i="40"/>
  <c r="O236" i="40"/>
  <c r="S236" i="6"/>
  <c r="S236" i="40"/>
  <c r="E237" i="40"/>
  <c r="H237" i="40"/>
  <c r="G237" i="40"/>
  <c r="J237" i="40"/>
  <c r="I237" i="40"/>
  <c r="L237" i="40"/>
  <c r="K237" i="40"/>
  <c r="N237" i="40"/>
  <c r="M237" i="40"/>
  <c r="P237" i="40"/>
  <c r="O237" i="40"/>
  <c r="S237" i="6"/>
  <c r="S237" i="40"/>
  <c r="E238" i="40"/>
  <c r="H238" i="40"/>
  <c r="G238" i="40"/>
  <c r="J238" i="40"/>
  <c r="I238" i="40"/>
  <c r="L238" i="40"/>
  <c r="K238" i="40"/>
  <c r="N238" i="40"/>
  <c r="M238" i="40"/>
  <c r="P238" i="40"/>
  <c r="O238" i="40"/>
  <c r="S238" i="6"/>
  <c r="S238" i="40" s="1"/>
  <c r="E231" i="40"/>
  <c r="H231" i="40"/>
  <c r="G231" i="40"/>
  <c r="J231" i="40"/>
  <c r="I231" i="40"/>
  <c r="L231" i="40"/>
  <c r="K231" i="40"/>
  <c r="N231" i="40"/>
  <c r="M231" i="40"/>
  <c r="P231" i="40"/>
  <c r="O231" i="40"/>
  <c r="Q231" i="40"/>
  <c r="S231" i="6"/>
  <c r="S231" i="40" s="1"/>
  <c r="E232" i="40"/>
  <c r="H232" i="40"/>
  <c r="G232" i="40"/>
  <c r="J232" i="40"/>
  <c r="I232" i="40"/>
  <c r="L232" i="40"/>
  <c r="N232" i="40"/>
  <c r="M232" i="40"/>
  <c r="P232" i="40"/>
  <c r="O232" i="40"/>
  <c r="S232" i="6"/>
  <c r="S232" i="40" s="1"/>
  <c r="E233" i="40"/>
  <c r="H233" i="40"/>
  <c r="G233" i="40"/>
  <c r="J233" i="40"/>
  <c r="I233" i="40"/>
  <c r="L233" i="40"/>
  <c r="K233" i="40"/>
  <c r="N233" i="40"/>
  <c r="M233" i="40"/>
  <c r="P233" i="40"/>
  <c r="O233" i="40"/>
  <c r="Q233" i="6"/>
  <c r="Q233" i="40" s="1"/>
  <c r="S233" i="6"/>
  <c r="S233" i="40"/>
  <c r="E234" i="40"/>
  <c r="H234" i="40"/>
  <c r="G234" i="40"/>
  <c r="J234" i="40"/>
  <c r="I234" i="40"/>
  <c r="L234" i="40"/>
  <c r="K234" i="40"/>
  <c r="N234" i="40"/>
  <c r="M234" i="40"/>
  <c r="P234" i="40"/>
  <c r="O234" i="40"/>
  <c r="Q234" i="6"/>
  <c r="Q234" i="40" s="1"/>
  <c r="S234" i="6"/>
  <c r="S234" i="40" s="1"/>
  <c r="E239" i="40"/>
  <c r="H239" i="40"/>
  <c r="G239" i="40"/>
  <c r="J239" i="40"/>
  <c r="I239" i="40"/>
  <c r="L239" i="40"/>
  <c r="K239" i="40"/>
  <c r="N239" i="40"/>
  <c r="M239" i="40"/>
  <c r="P239" i="40"/>
  <c r="O239" i="40"/>
  <c r="Q239" i="6"/>
  <c r="Q239" i="40"/>
  <c r="S239" i="6"/>
  <c r="S239" i="40" s="1"/>
  <c r="E240" i="40"/>
  <c r="H240" i="40"/>
  <c r="G240" i="40"/>
  <c r="J240" i="40"/>
  <c r="I240" i="40"/>
  <c r="L240" i="40"/>
  <c r="K240" i="40"/>
  <c r="N240" i="40"/>
  <c r="M240" i="40"/>
  <c r="P240" i="40"/>
  <c r="O240" i="40"/>
  <c r="Q240" i="6"/>
  <c r="Q240" i="40" s="1"/>
  <c r="S240" i="6"/>
  <c r="S240" i="40"/>
  <c r="E241" i="40"/>
  <c r="H241" i="40"/>
  <c r="G241" i="40"/>
  <c r="J241" i="40"/>
  <c r="I241" i="40"/>
  <c r="L241" i="40"/>
  <c r="K241" i="40"/>
  <c r="N241" i="40"/>
  <c r="M241" i="40"/>
  <c r="P241" i="40"/>
  <c r="O241" i="40"/>
  <c r="Q241" i="6"/>
  <c r="Q241" i="40"/>
  <c r="S241" i="6"/>
  <c r="S241" i="40" s="1"/>
  <c r="E242" i="40"/>
  <c r="H242" i="40"/>
  <c r="G242" i="40"/>
  <c r="J242" i="40"/>
  <c r="I242" i="40"/>
  <c r="L242" i="40"/>
  <c r="N242" i="40"/>
  <c r="M242" i="40"/>
  <c r="P242" i="40"/>
  <c r="O242" i="40"/>
  <c r="Q242" i="6"/>
  <c r="Q242" i="40" s="1"/>
  <c r="S242" i="6"/>
  <c r="S242" i="40" s="1"/>
  <c r="F236" i="40"/>
  <c r="F237" i="40"/>
  <c r="F238" i="40"/>
  <c r="F231" i="40"/>
  <c r="F232" i="40"/>
  <c r="F233" i="40"/>
  <c r="F234" i="40"/>
  <c r="F239" i="40"/>
  <c r="F240" i="40"/>
  <c r="F241" i="40"/>
  <c r="F242" i="40"/>
  <c r="F235" i="40"/>
  <c r="G19" i="4"/>
  <c r="J251" i="40" s="1"/>
  <c r="I251" i="40"/>
  <c r="S251" i="6"/>
  <c r="G252" i="40"/>
  <c r="J252" i="40"/>
  <c r="S252" i="6"/>
  <c r="S252" i="40"/>
  <c r="O253" i="40"/>
  <c r="S253" i="6"/>
  <c r="I254" i="40"/>
  <c r="M254" i="40"/>
  <c r="S254" i="6"/>
  <c r="S254" i="40"/>
  <c r="I247" i="40"/>
  <c r="S247" i="6"/>
  <c r="E248" i="40"/>
  <c r="H248" i="40"/>
  <c r="S248" i="6"/>
  <c r="H249" i="40"/>
  <c r="G249" i="40"/>
  <c r="Q249" i="6"/>
  <c r="Q249" i="40" s="1"/>
  <c r="S249" i="6"/>
  <c r="S249" i="40" s="1"/>
  <c r="N250" i="40"/>
  <c r="M250" i="40"/>
  <c r="S250" i="6"/>
  <c r="J255" i="40"/>
  <c r="N255" i="40"/>
  <c r="S255" i="6"/>
  <c r="G256" i="40"/>
  <c r="I256" i="40"/>
  <c r="S256" i="6"/>
  <c r="S256" i="40"/>
  <c r="P257" i="40"/>
  <c r="O257" i="40"/>
  <c r="S257" i="6"/>
  <c r="S257" i="40" s="1"/>
  <c r="E258" i="40"/>
  <c r="I258" i="40"/>
  <c r="S258" i="6"/>
  <c r="S258" i="40" s="1"/>
  <c r="F248" i="40"/>
  <c r="F249" i="40"/>
  <c r="G20" i="4"/>
  <c r="E267" i="40"/>
  <c r="G267" i="40"/>
  <c r="J267" i="40"/>
  <c r="I267" i="40"/>
  <c r="K267" i="40"/>
  <c r="N267" i="40"/>
  <c r="M267" i="40"/>
  <c r="O267" i="40"/>
  <c r="S267" i="6"/>
  <c r="S267" i="40"/>
  <c r="H268" i="40"/>
  <c r="G268" i="40"/>
  <c r="J268" i="40"/>
  <c r="L268" i="40"/>
  <c r="K268" i="40"/>
  <c r="N268" i="40"/>
  <c r="P268" i="40"/>
  <c r="O268" i="40"/>
  <c r="S268" i="6"/>
  <c r="S268" i="40" s="1"/>
  <c r="E269" i="40"/>
  <c r="H269" i="40"/>
  <c r="G269" i="40"/>
  <c r="I269" i="40"/>
  <c r="L269" i="40"/>
  <c r="K269" i="40"/>
  <c r="M269" i="40"/>
  <c r="P269" i="40"/>
  <c r="O269" i="40"/>
  <c r="S269" i="6"/>
  <c r="S269" i="40"/>
  <c r="E270" i="40"/>
  <c r="H270" i="40"/>
  <c r="J270" i="40"/>
  <c r="I270" i="40"/>
  <c r="L270" i="40"/>
  <c r="N270" i="40"/>
  <c r="M270" i="40"/>
  <c r="P270" i="40"/>
  <c r="S270" i="6"/>
  <c r="S270" i="40" s="1"/>
  <c r="E263" i="40"/>
  <c r="G263" i="40"/>
  <c r="J263" i="40"/>
  <c r="I263" i="40"/>
  <c r="K263" i="40"/>
  <c r="N263" i="40"/>
  <c r="M263" i="40"/>
  <c r="O263" i="40"/>
  <c r="R263" i="40"/>
  <c r="Q263" i="40"/>
  <c r="S263" i="6"/>
  <c r="S263" i="40" s="1"/>
  <c r="E264" i="40"/>
  <c r="H264" i="40"/>
  <c r="J264" i="40"/>
  <c r="I264" i="40"/>
  <c r="L264" i="40"/>
  <c r="N264" i="40"/>
  <c r="M264" i="40"/>
  <c r="P264" i="40"/>
  <c r="R264" i="6"/>
  <c r="R264" i="40"/>
  <c r="Q264" i="6"/>
  <c r="S264" i="6"/>
  <c r="S264" i="40" s="1"/>
  <c r="E265" i="40"/>
  <c r="G265" i="40"/>
  <c r="J265" i="40"/>
  <c r="I265" i="40"/>
  <c r="K265" i="40"/>
  <c r="N265" i="40"/>
  <c r="M265" i="40"/>
  <c r="O265" i="40"/>
  <c r="R265" i="6"/>
  <c r="R265" i="40" s="1"/>
  <c r="Q265" i="6"/>
  <c r="Q265" i="40" s="1"/>
  <c r="S265" i="6"/>
  <c r="S265" i="40"/>
  <c r="H266" i="40"/>
  <c r="G266" i="40"/>
  <c r="J266" i="40"/>
  <c r="L266" i="40"/>
  <c r="K266" i="40"/>
  <c r="N266" i="40"/>
  <c r="P266" i="40"/>
  <c r="O266" i="40"/>
  <c r="R266" i="6"/>
  <c r="R266" i="40" s="1"/>
  <c r="Q266" i="6"/>
  <c r="Q266" i="40"/>
  <c r="S266" i="6"/>
  <c r="S266" i="40" s="1"/>
  <c r="E271" i="40"/>
  <c r="H271" i="40"/>
  <c r="G271" i="40"/>
  <c r="I271" i="40"/>
  <c r="L271" i="40"/>
  <c r="K271" i="40"/>
  <c r="M271" i="40"/>
  <c r="P271" i="40"/>
  <c r="O271" i="40"/>
  <c r="R271" i="6"/>
  <c r="R271" i="40"/>
  <c r="Q271" i="6"/>
  <c r="Q271" i="40" s="1"/>
  <c r="S271" i="6"/>
  <c r="S271" i="40" s="1"/>
  <c r="E272" i="40"/>
  <c r="H272" i="40"/>
  <c r="J272" i="40"/>
  <c r="I272" i="40"/>
  <c r="L272" i="40"/>
  <c r="N272" i="40"/>
  <c r="M272" i="40"/>
  <c r="P272" i="40"/>
  <c r="R272" i="6"/>
  <c r="R272" i="40" s="1"/>
  <c r="Q272" i="6"/>
  <c r="Q272" i="40" s="1"/>
  <c r="S272" i="6"/>
  <c r="S272" i="40" s="1"/>
  <c r="E273" i="40"/>
  <c r="G273" i="40"/>
  <c r="J273" i="40"/>
  <c r="I273" i="40"/>
  <c r="K273" i="40"/>
  <c r="N273" i="40"/>
  <c r="M273" i="40"/>
  <c r="O273" i="40"/>
  <c r="R273" i="6"/>
  <c r="R273" i="40"/>
  <c r="Q273" i="6"/>
  <c r="Q273" i="40" s="1"/>
  <c r="S273" i="6"/>
  <c r="S273" i="40" s="1"/>
  <c r="H274" i="40"/>
  <c r="G274" i="40"/>
  <c r="J274" i="40"/>
  <c r="L274" i="40"/>
  <c r="K274" i="40"/>
  <c r="N274" i="40"/>
  <c r="P274" i="40"/>
  <c r="O274" i="40"/>
  <c r="R274" i="6"/>
  <c r="R274" i="40" s="1"/>
  <c r="Q274" i="6"/>
  <c r="Q274" i="40" s="1"/>
  <c r="S274" i="6"/>
  <c r="S274" i="40" s="1"/>
  <c r="F268" i="40"/>
  <c r="F269" i="40"/>
  <c r="F270" i="40"/>
  <c r="F264" i="40"/>
  <c r="F265" i="40"/>
  <c r="F266" i="40"/>
  <c r="F272" i="40"/>
  <c r="F273" i="40"/>
  <c r="F274" i="40"/>
  <c r="G21" i="4"/>
  <c r="P283" i="40" s="1"/>
  <c r="S283" i="6"/>
  <c r="S284" i="6"/>
  <c r="S285" i="6"/>
  <c r="S286" i="6"/>
  <c r="S279" i="6"/>
  <c r="Q280" i="6"/>
  <c r="Q280" i="40" s="1"/>
  <c r="S280" i="6"/>
  <c r="Q281" i="6"/>
  <c r="S281" i="6"/>
  <c r="N282" i="40"/>
  <c r="Q282" i="6"/>
  <c r="S282" i="6"/>
  <c r="S287" i="6"/>
  <c r="P288" i="40"/>
  <c r="Q288" i="6"/>
  <c r="S288" i="6"/>
  <c r="I289" i="40"/>
  <c r="Q289" i="6"/>
  <c r="S289" i="6"/>
  <c r="S289" i="40" s="1"/>
  <c r="Q290" i="6"/>
  <c r="S290" i="6"/>
  <c r="P12" i="6"/>
  <c r="S12" i="6" s="1"/>
  <c r="O12" i="6"/>
  <c r="P13" i="6"/>
  <c r="S13" i="6" s="1"/>
  <c r="O13" i="6"/>
  <c r="P14" i="6"/>
  <c r="O14" i="6"/>
  <c r="P7" i="6"/>
  <c r="S7" i="6" s="1"/>
  <c r="O7" i="6"/>
  <c r="P8" i="6"/>
  <c r="S8" i="6" s="1"/>
  <c r="O8" i="6"/>
  <c r="P9" i="6"/>
  <c r="O9" i="6"/>
  <c r="P10" i="6"/>
  <c r="S10" i="6" s="1"/>
  <c r="O10" i="6"/>
  <c r="P15" i="6"/>
  <c r="S15" i="6" s="1"/>
  <c r="O15" i="6"/>
  <c r="P16" i="6"/>
  <c r="O16" i="6"/>
  <c r="P17" i="6"/>
  <c r="O17" i="6"/>
  <c r="S17" i="6"/>
  <c r="P18" i="6"/>
  <c r="O18" i="6"/>
  <c r="E230" i="40"/>
  <c r="M35" i="5"/>
  <c r="D35" i="5" s="1"/>
  <c r="G133" i="5"/>
  <c r="J22" i="5"/>
  <c r="D22" i="5" s="1"/>
  <c r="M22" i="5"/>
  <c r="M36" i="5"/>
  <c r="D36" i="5"/>
  <c r="L92" i="6" s="1"/>
  <c r="M50" i="5"/>
  <c r="D50" i="5" s="1"/>
  <c r="L108" i="6" s="1"/>
  <c r="M78" i="5"/>
  <c r="D78" i="5" s="1"/>
  <c r="M106" i="5"/>
  <c r="D106" i="5" s="1"/>
  <c r="L220" i="6" s="1"/>
  <c r="D134" i="5"/>
  <c r="L252" i="6" s="1"/>
  <c r="R252" i="6" s="1"/>
  <c r="M37" i="5"/>
  <c r="D37" i="5" s="1"/>
  <c r="L93" i="6" s="1"/>
  <c r="M107" i="5"/>
  <c r="D107" i="5"/>
  <c r="L221" i="6" s="1"/>
  <c r="R221" i="6" s="1"/>
  <c r="R221" i="40" s="1"/>
  <c r="D135" i="5"/>
  <c r="L253" i="6" s="1"/>
  <c r="J24" i="5"/>
  <c r="M24" i="5"/>
  <c r="M38" i="5"/>
  <c r="D38" i="5" s="1"/>
  <c r="L94" i="6" s="1"/>
  <c r="M52" i="5"/>
  <c r="D52" i="5" s="1"/>
  <c r="L110" i="6" s="1"/>
  <c r="M80" i="5"/>
  <c r="D80" i="5" s="1"/>
  <c r="M108" i="5"/>
  <c r="D108" i="5" s="1"/>
  <c r="D136" i="5"/>
  <c r="L254" i="6" s="1"/>
  <c r="R254" i="6" s="1"/>
  <c r="G137" i="5"/>
  <c r="J26" i="5"/>
  <c r="M26" i="5"/>
  <c r="D26" i="5"/>
  <c r="M40" i="5"/>
  <c r="D40" i="5" s="1"/>
  <c r="L88" i="6" s="1"/>
  <c r="M54" i="5"/>
  <c r="D54" i="5"/>
  <c r="L104" i="6" s="1"/>
  <c r="M82" i="5"/>
  <c r="D82" i="5" s="1"/>
  <c r="M110" i="5"/>
  <c r="D110" i="5" s="1"/>
  <c r="L216" i="6" s="1"/>
  <c r="G138" i="5"/>
  <c r="J27" i="5"/>
  <c r="D27" i="5" s="1"/>
  <c r="M27" i="5"/>
  <c r="M41" i="5"/>
  <c r="D41" i="5"/>
  <c r="M55" i="5"/>
  <c r="D55" i="5" s="1"/>
  <c r="L105" i="6" s="1"/>
  <c r="M83" i="5"/>
  <c r="D83" i="5"/>
  <c r="M111" i="5"/>
  <c r="D111" i="5" s="1"/>
  <c r="L217" i="6" s="1"/>
  <c r="G139" i="5"/>
  <c r="D139" i="5"/>
  <c r="L249" i="6" s="1"/>
  <c r="R249" i="6" s="1"/>
  <c r="J28" i="5"/>
  <c r="D28" i="5" s="1"/>
  <c r="M28" i="5"/>
  <c r="M42" i="5"/>
  <c r="D42" i="5"/>
  <c r="M56" i="5"/>
  <c r="D56" i="5" s="1"/>
  <c r="M84" i="5"/>
  <c r="D84" i="5" s="1"/>
  <c r="M112" i="5"/>
  <c r="D112" i="5" s="1"/>
  <c r="L218" i="6" s="1"/>
  <c r="G140" i="5"/>
  <c r="D140" i="5"/>
  <c r="L250" i="6" s="1"/>
  <c r="J29" i="5"/>
  <c r="M29" i="5"/>
  <c r="D29" i="5"/>
  <c r="M43" i="5"/>
  <c r="D43" i="5" s="1"/>
  <c r="M57" i="5"/>
  <c r="D57" i="5"/>
  <c r="M113" i="5"/>
  <c r="D113" i="5" s="1"/>
  <c r="G141" i="5"/>
  <c r="D141" i="5"/>
  <c r="L255" i="6" s="1"/>
  <c r="L255" i="40" s="1"/>
  <c r="J30" i="5"/>
  <c r="D30" i="5" s="1"/>
  <c r="M30" i="5"/>
  <c r="M44" i="5"/>
  <c r="D44" i="5" s="1"/>
  <c r="L96" i="6" s="1"/>
  <c r="R96" i="6" s="1"/>
  <c r="M58" i="5"/>
  <c r="D58" i="5"/>
  <c r="L112" i="6" s="1"/>
  <c r="M86" i="5"/>
  <c r="D86" i="5" s="1"/>
  <c r="M114" i="5"/>
  <c r="D114" i="5"/>
  <c r="L224" i="6" s="1"/>
  <c r="G142" i="5"/>
  <c r="D142" i="5" s="1"/>
  <c r="L256" i="6" s="1"/>
  <c r="R256" i="6" s="1"/>
  <c r="J31" i="5"/>
  <c r="M31" i="5"/>
  <c r="M45" i="5"/>
  <c r="D45" i="5" s="1"/>
  <c r="L97" i="6" s="1"/>
  <c r="M59" i="5"/>
  <c r="D59" i="5" s="1"/>
  <c r="L113" i="6" s="1"/>
  <c r="M87" i="5"/>
  <c r="D87" i="5"/>
  <c r="M115" i="5"/>
  <c r="D115" i="5" s="1"/>
  <c r="L225" i="6" s="1"/>
  <c r="R225" i="6" s="1"/>
  <c r="R225" i="40" s="1"/>
  <c r="G143" i="5"/>
  <c r="D143" i="5" s="1"/>
  <c r="L257" i="6" s="1"/>
  <c r="J32" i="5"/>
  <c r="D32" i="5" s="1"/>
  <c r="M32" i="5"/>
  <c r="M46" i="5"/>
  <c r="D46" i="5" s="1"/>
  <c r="M60" i="5"/>
  <c r="D60" i="5"/>
  <c r="M88" i="5"/>
  <c r="D88" i="5" s="1"/>
  <c r="M116" i="5"/>
  <c r="D116" i="5"/>
  <c r="G144" i="5"/>
  <c r="D144" i="5" s="1"/>
  <c r="L258" i="6" s="1"/>
  <c r="N35" i="5"/>
  <c r="E35" i="5" s="1"/>
  <c r="K22" i="5"/>
  <c r="N22" i="5"/>
  <c r="E22" i="5"/>
  <c r="N36" i="5"/>
  <c r="E36" i="5"/>
  <c r="N50" i="5"/>
  <c r="E50" i="5"/>
  <c r="N78" i="5"/>
  <c r="E78" i="5"/>
  <c r="N106" i="5"/>
  <c r="E106" i="5"/>
  <c r="K220" i="6" s="1"/>
  <c r="Q220" i="6" s="1"/>
  <c r="Q220" i="40" s="1"/>
  <c r="H134" i="5"/>
  <c r="E134" i="5"/>
  <c r="K252" i="6" s="1"/>
  <c r="Q252" i="6" s="1"/>
  <c r="N37" i="5"/>
  <c r="E37" i="5" s="1"/>
  <c r="N107" i="5"/>
  <c r="E107" i="5" s="1"/>
  <c r="K221" i="6" s="1"/>
  <c r="H135" i="5"/>
  <c r="E135" i="5" s="1"/>
  <c r="K253" i="6" s="1"/>
  <c r="K24" i="5"/>
  <c r="N24" i="5"/>
  <c r="N38" i="5"/>
  <c r="E38" i="5"/>
  <c r="N52" i="5"/>
  <c r="E52" i="5" s="1"/>
  <c r="N80" i="5"/>
  <c r="E80" i="5" s="1"/>
  <c r="N108" i="5"/>
  <c r="E108" i="5" s="1"/>
  <c r="K222" i="6" s="1"/>
  <c r="H136" i="5"/>
  <c r="E136" i="5"/>
  <c r="K254" i="6" s="1"/>
  <c r="Q254" i="6" s="1"/>
  <c r="H137" i="5"/>
  <c r="E137" i="5"/>
  <c r="K247" i="6" s="1"/>
  <c r="K26" i="5"/>
  <c r="N26" i="5"/>
  <c r="N40" i="5"/>
  <c r="E40" i="5"/>
  <c r="N54" i="5"/>
  <c r="E54" i="5"/>
  <c r="N82" i="5"/>
  <c r="E82" i="5"/>
  <c r="N110" i="5"/>
  <c r="E110" i="5"/>
  <c r="K216" i="6" s="1"/>
  <c r="Q216" i="6" s="1"/>
  <c r="Q216" i="40" s="1"/>
  <c r="K27" i="5"/>
  <c r="E27" i="5" s="1"/>
  <c r="N27" i="5"/>
  <c r="N41" i="5"/>
  <c r="E41" i="5"/>
  <c r="N55" i="5"/>
  <c r="E55" i="5" s="1"/>
  <c r="N83" i="5"/>
  <c r="E83" i="5"/>
  <c r="N111" i="5"/>
  <c r="E111" i="5" s="1"/>
  <c r="K217" i="6" s="1"/>
  <c r="Q217" i="6" s="1"/>
  <c r="Q217" i="40" s="1"/>
  <c r="H139" i="5"/>
  <c r="E139" i="5"/>
  <c r="K249" i="6" s="1"/>
  <c r="K249" i="40" s="1"/>
  <c r="K28" i="5"/>
  <c r="N28" i="5"/>
  <c r="N42" i="5"/>
  <c r="E42" i="5"/>
  <c r="N56" i="5"/>
  <c r="E56" i="5" s="1"/>
  <c r="N84" i="5"/>
  <c r="E84" i="5"/>
  <c r="N112" i="5"/>
  <c r="E112" i="5" s="1"/>
  <c r="K218" i="6" s="1"/>
  <c r="H140" i="5"/>
  <c r="E140" i="5" s="1"/>
  <c r="K250" i="6" s="1"/>
  <c r="K29" i="5"/>
  <c r="N29" i="5"/>
  <c r="E29" i="5"/>
  <c r="N43" i="5"/>
  <c r="E43" i="5" s="1"/>
  <c r="N57" i="5"/>
  <c r="E57" i="5"/>
  <c r="N113" i="5"/>
  <c r="E113" i="5" s="1"/>
  <c r="H141" i="5"/>
  <c r="E141" i="5" s="1"/>
  <c r="K255" i="6" s="1"/>
  <c r="K255" i="40" s="1"/>
  <c r="K30" i="5"/>
  <c r="E30" i="5" s="1"/>
  <c r="N30" i="5"/>
  <c r="N44" i="5"/>
  <c r="E44" i="5"/>
  <c r="N58" i="5"/>
  <c r="E58" i="5" s="1"/>
  <c r="N86" i="5"/>
  <c r="E86" i="5"/>
  <c r="N114" i="5"/>
  <c r="E114" i="5" s="1"/>
  <c r="K224" i="6" s="1"/>
  <c r="H142" i="5"/>
  <c r="E142" i="5"/>
  <c r="K256" i="6" s="1"/>
  <c r="Q256" i="6" s="1"/>
  <c r="Q256" i="40" s="1"/>
  <c r="K31" i="5"/>
  <c r="E31" i="5" s="1"/>
  <c r="N31" i="5"/>
  <c r="N45" i="5"/>
  <c r="E45" i="5"/>
  <c r="N59" i="5"/>
  <c r="E59" i="5" s="1"/>
  <c r="N87" i="5"/>
  <c r="E87" i="5"/>
  <c r="N115" i="5"/>
  <c r="E115" i="5" s="1"/>
  <c r="K225" i="6" s="1"/>
  <c r="Q225" i="6" s="1"/>
  <c r="Q225" i="40" s="1"/>
  <c r="H143" i="5"/>
  <c r="E143" i="5"/>
  <c r="K257" i="6" s="1"/>
  <c r="K32" i="5"/>
  <c r="E32" i="5" s="1"/>
  <c r="N32" i="5"/>
  <c r="N46" i="5"/>
  <c r="E46" i="5"/>
  <c r="N60" i="5"/>
  <c r="E60" i="5" s="1"/>
  <c r="N88" i="5"/>
  <c r="E88" i="5"/>
  <c r="N116" i="5"/>
  <c r="E116" i="5" s="1"/>
  <c r="K226" i="6" s="1"/>
  <c r="K226" i="40" s="1"/>
  <c r="H144" i="5"/>
  <c r="E144" i="5"/>
  <c r="K258" i="6" s="1"/>
  <c r="K258" i="40" s="1"/>
  <c r="E4" i="38"/>
  <c r="E5" i="38"/>
  <c r="E6" i="38"/>
  <c r="E7" i="38"/>
  <c r="E10" i="38"/>
  <c r="E11" i="38"/>
  <c r="E12" i="38"/>
  <c r="E13" i="38"/>
  <c r="E14" i="38"/>
  <c r="E17" i="38"/>
  <c r="E18" i="38"/>
  <c r="E19" i="38"/>
  <c r="E40" i="38"/>
  <c r="E45" i="38"/>
  <c r="E43" i="38"/>
  <c r="E42" i="38"/>
  <c r="E41" i="38"/>
  <c r="E31" i="38"/>
  <c r="E32" i="38"/>
  <c r="E29" i="38"/>
  <c r="E30" i="38"/>
  <c r="E36" i="38"/>
  <c r="E37" i="38"/>
  <c r="E34" i="38"/>
  <c r="E33" i="38"/>
  <c r="E35" i="38"/>
  <c r="E38" i="38"/>
  <c r="H262" i="6"/>
  <c r="G262" i="6"/>
  <c r="J262" i="6"/>
  <c r="I262" i="6"/>
  <c r="L262" i="6"/>
  <c r="K262" i="6"/>
  <c r="N262" i="6"/>
  <c r="M262" i="6"/>
  <c r="P262" i="6"/>
  <c r="O262" i="6"/>
  <c r="H246" i="6"/>
  <c r="G246" i="6"/>
  <c r="J246" i="6"/>
  <c r="I246" i="6"/>
  <c r="N246" i="6"/>
  <c r="M246" i="6"/>
  <c r="P246" i="6"/>
  <c r="O246" i="6"/>
  <c r="F230" i="6"/>
  <c r="E230" i="6"/>
  <c r="H230" i="6"/>
  <c r="G230" i="6"/>
  <c r="J230" i="6"/>
  <c r="I230" i="6"/>
  <c r="L230" i="6"/>
  <c r="N230" i="6"/>
  <c r="M230" i="6"/>
  <c r="H214" i="6"/>
  <c r="G214" i="6"/>
  <c r="J214" i="6"/>
  <c r="I214" i="6"/>
  <c r="H198" i="6"/>
  <c r="G198" i="6"/>
  <c r="J198" i="6"/>
  <c r="I198" i="6"/>
  <c r="L198" i="6"/>
  <c r="K198" i="6"/>
  <c r="N198" i="6"/>
  <c r="M198" i="6"/>
  <c r="P198" i="6"/>
  <c r="O198" i="6"/>
  <c r="H182" i="6"/>
  <c r="G182" i="6"/>
  <c r="J182" i="6"/>
  <c r="I182" i="6"/>
  <c r="L182" i="6"/>
  <c r="K182" i="6"/>
  <c r="N182" i="6"/>
  <c r="M182" i="6"/>
  <c r="P182" i="6"/>
  <c r="O182" i="6"/>
  <c r="F166" i="6"/>
  <c r="E166" i="6"/>
  <c r="J166" i="6"/>
  <c r="I166" i="6"/>
  <c r="L166" i="6"/>
  <c r="N166" i="6"/>
  <c r="M166" i="6"/>
  <c r="P166" i="6"/>
  <c r="O166" i="6"/>
  <c r="N150" i="6"/>
  <c r="M150" i="6"/>
  <c r="W19" i="9"/>
  <c r="AA27" i="34"/>
  <c r="D27" i="34" s="1"/>
  <c r="AA21" i="20"/>
  <c r="AA28" i="34"/>
  <c r="AA21" i="34"/>
  <c r="AA15" i="34"/>
  <c r="J15" i="34"/>
  <c r="N15" i="34"/>
  <c r="Z15" i="34"/>
  <c r="J27" i="34"/>
  <c r="Z31" i="34"/>
  <c r="V31" i="34"/>
  <c r="N31" i="34"/>
  <c r="J31" i="34"/>
  <c r="D28" i="34"/>
  <c r="Z21" i="34"/>
  <c r="N21" i="34"/>
  <c r="J21" i="34"/>
  <c r="B8" i="4"/>
  <c r="E8" i="4"/>
  <c r="F8" i="4"/>
  <c r="E54" i="6"/>
  <c r="F54" i="6"/>
  <c r="F278" i="6"/>
  <c r="C12" i="33"/>
  <c r="A48" i="33"/>
  <c r="A35" i="33" s="1"/>
  <c r="AA19" i="33" s="1"/>
  <c r="A38" i="33"/>
  <c r="A29" i="33"/>
  <c r="Z25" i="33"/>
  <c r="V25" i="33"/>
  <c r="N25" i="33"/>
  <c r="J25" i="33"/>
  <c r="AB25" i="33"/>
  <c r="N22" i="33"/>
  <c r="AB22" i="33"/>
  <c r="Q22" i="33" s="1"/>
  <c r="E22" i="33"/>
  <c r="AB19" i="33"/>
  <c r="Q19" i="33" s="1"/>
  <c r="N16" i="33"/>
  <c r="AB16" i="33"/>
  <c r="N15" i="33"/>
  <c r="AB15" i="33"/>
  <c r="E15" i="33" s="1"/>
  <c r="AA15" i="33"/>
  <c r="M70" i="6"/>
  <c r="N70" i="6"/>
  <c r="I70" i="6"/>
  <c r="J70" i="6"/>
  <c r="D5" i="11"/>
  <c r="B90" i="4"/>
  <c r="A56" i="21" s="1"/>
  <c r="AA30" i="21" s="1"/>
  <c r="P30" i="21" s="1"/>
  <c r="AA31" i="21"/>
  <c r="AA36" i="21"/>
  <c r="AA25" i="21"/>
  <c r="P25" i="21" s="1"/>
  <c r="B66" i="4"/>
  <c r="O278" i="6"/>
  <c r="P278" i="6"/>
  <c r="Q6" i="32"/>
  <c r="AA16" i="29"/>
  <c r="AA18" i="29"/>
  <c r="AA17" i="29"/>
  <c r="AA22" i="29"/>
  <c r="B107" i="32"/>
  <c r="B108" i="32" s="1"/>
  <c r="B97" i="32"/>
  <c r="B98" i="32"/>
  <c r="B99" i="32"/>
  <c r="AA27" i="29" s="1"/>
  <c r="H73" i="32"/>
  <c r="H72" i="32"/>
  <c r="H71" i="32"/>
  <c r="H70" i="32"/>
  <c r="H69" i="32"/>
  <c r="H68" i="32"/>
  <c r="H67" i="32"/>
  <c r="H66" i="32"/>
  <c r="H65" i="32"/>
  <c r="H64" i="32"/>
  <c r="H63" i="32"/>
  <c r="H62" i="32"/>
  <c r="H61" i="32"/>
  <c r="H60" i="32"/>
  <c r="H59" i="32"/>
  <c r="H58" i="32"/>
  <c r="H57" i="32"/>
  <c r="H56" i="32"/>
  <c r="H55" i="32"/>
  <c r="H54" i="32"/>
  <c r="H53" i="32"/>
  <c r="H52" i="32"/>
  <c r="H51" i="32"/>
  <c r="H50" i="32"/>
  <c r="H49" i="32"/>
  <c r="H48" i="32"/>
  <c r="H47" i="32"/>
  <c r="H46" i="32"/>
  <c r="H45" i="32"/>
  <c r="H44" i="32"/>
  <c r="H43" i="32"/>
  <c r="H42" i="32"/>
  <c r="H41" i="32"/>
  <c r="H40" i="32"/>
  <c r="H39" i="32"/>
  <c r="K38" i="32"/>
  <c r="J38" i="32"/>
  <c r="H38" i="32"/>
  <c r="H37" i="32"/>
  <c r="H36" i="32"/>
  <c r="H35" i="32"/>
  <c r="H34" i="32"/>
  <c r="H33" i="32"/>
  <c r="H32" i="32"/>
  <c r="H31" i="32"/>
  <c r="H30" i="32"/>
  <c r="H29" i="32"/>
  <c r="H28" i="32"/>
  <c r="H27" i="32"/>
  <c r="H26" i="32"/>
  <c r="K25" i="32"/>
  <c r="J25" i="32"/>
  <c r="H25" i="32"/>
  <c r="H24" i="32"/>
  <c r="H23" i="32"/>
  <c r="H22" i="32"/>
  <c r="H21" i="32"/>
  <c r="H20" i="32"/>
  <c r="H19" i="32"/>
  <c r="Q7" i="32"/>
  <c r="C19" i="29" s="1"/>
  <c r="H18" i="32"/>
  <c r="H5" i="32"/>
  <c r="H6" i="32"/>
  <c r="H7" i="32"/>
  <c r="H8" i="32"/>
  <c r="H9" i="32"/>
  <c r="H10" i="32"/>
  <c r="H11" i="32"/>
  <c r="H12" i="32"/>
  <c r="H13" i="32"/>
  <c r="H14" i="32"/>
  <c r="H15" i="32"/>
  <c r="H16" i="32"/>
  <c r="H17" i="32"/>
  <c r="S6" i="32"/>
  <c r="J5" i="32"/>
  <c r="R6" i="32"/>
  <c r="Q8" i="32"/>
  <c r="K5" i="32"/>
  <c r="O16" i="29" s="1"/>
  <c r="AA18" i="31"/>
  <c r="Z15" i="31"/>
  <c r="N15" i="31"/>
  <c r="C12" i="31"/>
  <c r="AB16" i="30"/>
  <c r="N15" i="30"/>
  <c r="AB15" i="30"/>
  <c r="Q15" i="30" s="1"/>
  <c r="AA15" i="30"/>
  <c r="Z27" i="29"/>
  <c r="AB27" i="29"/>
  <c r="Z26" i="29"/>
  <c r="N26" i="29"/>
  <c r="AB26" i="29"/>
  <c r="Z25" i="29"/>
  <c r="N25" i="29"/>
  <c r="AB24" i="29"/>
  <c r="Z23" i="29"/>
  <c r="N23" i="29"/>
  <c r="Z22" i="29"/>
  <c r="N22" i="29"/>
  <c r="AB22" i="29"/>
  <c r="E22" i="29" s="1"/>
  <c r="Z19" i="29"/>
  <c r="N19" i="29"/>
  <c r="Z18" i="29"/>
  <c r="N18" i="29"/>
  <c r="AB18" i="29"/>
  <c r="Z17" i="29"/>
  <c r="N17" i="29"/>
  <c r="Z16" i="29"/>
  <c r="N16" i="29"/>
  <c r="AB16" i="29"/>
  <c r="P16" i="29"/>
  <c r="N15" i="29"/>
  <c r="AB15" i="29"/>
  <c r="Z18" i="28"/>
  <c r="V18" i="28"/>
  <c r="N18" i="28"/>
  <c r="J18" i="28"/>
  <c r="AB18" i="28"/>
  <c r="AB15" i="28"/>
  <c r="E15" i="28" s="1"/>
  <c r="AA15" i="28"/>
  <c r="D15" i="28"/>
  <c r="AB25" i="27"/>
  <c r="Q25" i="27"/>
  <c r="P25" i="27"/>
  <c r="E25" i="27"/>
  <c r="D25" i="27"/>
  <c r="Z29" i="27"/>
  <c r="V29" i="27"/>
  <c r="N29" i="27"/>
  <c r="J29" i="27"/>
  <c r="AB29" i="27"/>
  <c r="E29" i="27"/>
  <c r="Z28" i="27"/>
  <c r="V28" i="27"/>
  <c r="N28" i="27"/>
  <c r="J28" i="27"/>
  <c r="AB28" i="27"/>
  <c r="Q28" i="27" s="1"/>
  <c r="AB22" i="27"/>
  <c r="N19" i="27"/>
  <c r="AB19" i="27"/>
  <c r="N18" i="27"/>
  <c r="AB18" i="27"/>
  <c r="E18" i="27"/>
  <c r="N17" i="27"/>
  <c r="AB17" i="27"/>
  <c r="Q17" i="27" s="1"/>
  <c r="E17" i="27"/>
  <c r="N16" i="27"/>
  <c r="AB16" i="27"/>
  <c r="E16" i="27" s="1"/>
  <c r="N15" i="27"/>
  <c r="AB15" i="27"/>
  <c r="E15" i="27"/>
  <c r="Z15" i="26"/>
  <c r="N15" i="26"/>
  <c r="AB15" i="26"/>
  <c r="O12" i="26"/>
  <c r="C12" i="26"/>
  <c r="N19" i="25"/>
  <c r="AA19" i="25"/>
  <c r="P19" i="25"/>
  <c r="N16" i="25"/>
  <c r="AB16" i="25"/>
  <c r="N15" i="25"/>
  <c r="AB15" i="25"/>
  <c r="P15" i="25"/>
  <c r="AA15" i="25"/>
  <c r="A38" i="24"/>
  <c r="A39" i="24" s="1"/>
  <c r="A40" i="24"/>
  <c r="A41" i="24" s="1"/>
  <c r="Z31" i="24"/>
  <c r="N31" i="24"/>
  <c r="AB31" i="24"/>
  <c r="E31" i="24" s="1"/>
  <c r="P31" i="24"/>
  <c r="D31" i="24"/>
  <c r="Z30" i="24"/>
  <c r="N30" i="24"/>
  <c r="AB30" i="24"/>
  <c r="E30" i="24" s="1"/>
  <c r="Q30" i="24"/>
  <c r="P30" i="24"/>
  <c r="D30" i="24"/>
  <c r="N26" i="24"/>
  <c r="AB26" i="24"/>
  <c r="Q26" i="24" s="1"/>
  <c r="AA26" i="24"/>
  <c r="P26" i="24"/>
  <c r="D26" i="24"/>
  <c r="Z23" i="24"/>
  <c r="N23" i="24"/>
  <c r="AB23" i="24"/>
  <c r="Q23" i="24" s="1"/>
  <c r="P23" i="24"/>
  <c r="D23" i="24"/>
  <c r="Z22" i="24"/>
  <c r="N22" i="24"/>
  <c r="AB22" i="24"/>
  <c r="Q22" i="24" s="1"/>
  <c r="P22" i="24"/>
  <c r="E22" i="24"/>
  <c r="D22" i="24"/>
  <c r="Z21" i="24"/>
  <c r="N21" i="24"/>
  <c r="AB21" i="24"/>
  <c r="P21" i="24"/>
  <c r="D21" i="24"/>
  <c r="Z20" i="24"/>
  <c r="N20" i="24"/>
  <c r="AB20" i="24"/>
  <c r="E20" i="24" s="1"/>
  <c r="Q20" i="24"/>
  <c r="P20" i="24"/>
  <c r="D20" i="24"/>
  <c r="Z17" i="24"/>
  <c r="N17" i="24"/>
  <c r="AB17" i="24"/>
  <c r="Q17" i="24" s="1"/>
  <c r="P17" i="24"/>
  <c r="D17" i="24"/>
  <c r="Z16" i="24"/>
  <c r="N16" i="24"/>
  <c r="AB16" i="24"/>
  <c r="P16" i="24"/>
  <c r="D16" i="24"/>
  <c r="Z15" i="24"/>
  <c r="N15" i="24"/>
  <c r="AB15" i="24"/>
  <c r="E15" i="24" s="1"/>
  <c r="P15" i="24"/>
  <c r="D15" i="24"/>
  <c r="O12" i="24"/>
  <c r="C12" i="24"/>
  <c r="X36" i="23"/>
  <c r="Z36" i="23" s="1"/>
  <c r="R36" i="23"/>
  <c r="V36" i="23" s="1"/>
  <c r="L36" i="23"/>
  <c r="N36" i="23" s="1"/>
  <c r="F36" i="23"/>
  <c r="J36" i="23" s="1"/>
  <c r="B68" i="4"/>
  <c r="AA19" i="21"/>
  <c r="AA17" i="23" s="1"/>
  <c r="B69" i="4"/>
  <c r="AA20" i="21" s="1"/>
  <c r="AA18" i="23" s="1"/>
  <c r="P18" i="23" s="1"/>
  <c r="Z30" i="23"/>
  <c r="H29" i="23"/>
  <c r="J29" i="23"/>
  <c r="Z28" i="23"/>
  <c r="N28" i="23"/>
  <c r="F28" i="23"/>
  <c r="J28" i="23"/>
  <c r="Z27" i="23"/>
  <c r="Z24" i="23"/>
  <c r="N24" i="23"/>
  <c r="F24" i="23"/>
  <c r="J24" i="23" s="1"/>
  <c r="Z23" i="23"/>
  <c r="N23" i="23"/>
  <c r="F23" i="23"/>
  <c r="J23" i="23" s="1"/>
  <c r="F22" i="23"/>
  <c r="J22" i="23" s="1"/>
  <c r="Z21" i="23"/>
  <c r="N21" i="23"/>
  <c r="Z18" i="23"/>
  <c r="Z17" i="23"/>
  <c r="N17" i="23"/>
  <c r="B67" i="4"/>
  <c r="AA16" i="21"/>
  <c r="AA16" i="23" s="1"/>
  <c r="X35" i="22"/>
  <c r="Z35" i="22"/>
  <c r="R35" i="22"/>
  <c r="V35" i="22" s="1"/>
  <c r="L35" i="22"/>
  <c r="N35" i="22"/>
  <c r="F35" i="22"/>
  <c r="J35" i="22" s="1"/>
  <c r="N28" i="22"/>
  <c r="N23" i="22"/>
  <c r="N22" i="22"/>
  <c r="N19" i="22"/>
  <c r="N16" i="22"/>
  <c r="Z39" i="21"/>
  <c r="V39" i="21"/>
  <c r="N39" i="21"/>
  <c r="J39" i="21"/>
  <c r="Z33" i="21"/>
  <c r="Z32" i="21"/>
  <c r="N32" i="21"/>
  <c r="P32" i="21"/>
  <c r="Z31" i="21"/>
  <c r="N31" i="21"/>
  <c r="D31" i="21"/>
  <c r="Z30" i="21"/>
  <c r="Z27" i="21"/>
  <c r="N27" i="21"/>
  <c r="Z26" i="21"/>
  <c r="N26" i="21"/>
  <c r="D25" i="21"/>
  <c r="Z24" i="21"/>
  <c r="N24" i="21"/>
  <c r="Z23" i="21"/>
  <c r="N23" i="21"/>
  <c r="Z20" i="21"/>
  <c r="V20" i="21"/>
  <c r="N20" i="21"/>
  <c r="P20" i="21"/>
  <c r="Z19" i="21"/>
  <c r="N19" i="21"/>
  <c r="Z18" i="21"/>
  <c r="V18" i="21"/>
  <c r="N18" i="21"/>
  <c r="J18" i="21"/>
  <c r="Z17" i="21"/>
  <c r="N17" i="21"/>
  <c r="AA17" i="21"/>
  <c r="V24" i="20"/>
  <c r="J24" i="20"/>
  <c r="P24" i="20"/>
  <c r="D24" i="20"/>
  <c r="Z28" i="20"/>
  <c r="V28" i="20"/>
  <c r="N28" i="20"/>
  <c r="J28" i="20"/>
  <c r="Z16" i="20"/>
  <c r="V16" i="20"/>
  <c r="N16" i="20"/>
  <c r="J16" i="20"/>
  <c r="Z15" i="20"/>
  <c r="V15" i="20"/>
  <c r="N15" i="20"/>
  <c r="J15" i="20"/>
  <c r="P15" i="20"/>
  <c r="P31" i="19"/>
  <c r="D31" i="19"/>
  <c r="Z35" i="19"/>
  <c r="V35" i="19"/>
  <c r="N35" i="19"/>
  <c r="J35" i="19"/>
  <c r="D32" i="19"/>
  <c r="Z25" i="19"/>
  <c r="N25" i="19"/>
  <c r="Z24" i="19"/>
  <c r="N24" i="19"/>
  <c r="Z23" i="19"/>
  <c r="N23" i="19"/>
  <c r="Z17" i="19"/>
  <c r="N17" i="19"/>
  <c r="Z16" i="19"/>
  <c r="N16" i="19"/>
  <c r="P16" i="19"/>
  <c r="Z15" i="19"/>
  <c r="N15" i="19"/>
  <c r="P15" i="19"/>
  <c r="V26" i="18"/>
  <c r="J26" i="18"/>
  <c r="P26" i="18"/>
  <c r="D26" i="18"/>
  <c r="Z30" i="18"/>
  <c r="V30" i="18"/>
  <c r="N30" i="18"/>
  <c r="J30" i="18"/>
  <c r="D27" i="18"/>
  <c r="Z20" i="18"/>
  <c r="V20" i="18"/>
  <c r="N20" i="18"/>
  <c r="J20" i="18"/>
  <c r="Z15" i="18"/>
  <c r="V15" i="18"/>
  <c r="N15" i="18"/>
  <c r="J15" i="18"/>
  <c r="P15" i="18"/>
  <c r="Z21" i="17"/>
  <c r="N21" i="17"/>
  <c r="J21" i="17"/>
  <c r="AB21" i="17"/>
  <c r="Z18" i="17"/>
  <c r="N18" i="17"/>
  <c r="AB18" i="17"/>
  <c r="E18" i="17" s="1"/>
  <c r="AA18" i="17"/>
  <c r="D18" i="17" s="1"/>
  <c r="P18" i="17"/>
  <c r="Z15" i="17"/>
  <c r="N15" i="17"/>
  <c r="AB15" i="17"/>
  <c r="AA15" i="17"/>
  <c r="D15" i="17" s="1"/>
  <c r="P15" i="17"/>
  <c r="X30" i="16"/>
  <c r="W30" i="16"/>
  <c r="Y30" i="16"/>
  <c r="Z30" i="16"/>
  <c r="R30" i="16"/>
  <c r="S30" i="16"/>
  <c r="T30" i="16"/>
  <c r="U30" i="16"/>
  <c r="L30" i="16"/>
  <c r="K30" i="16"/>
  <c r="M30" i="16"/>
  <c r="F30" i="16"/>
  <c r="G30" i="16"/>
  <c r="H30" i="16"/>
  <c r="I30" i="16"/>
  <c r="Z21" i="16"/>
  <c r="V21" i="16"/>
  <c r="N21" i="16"/>
  <c r="J21" i="16"/>
  <c r="P21" i="16"/>
  <c r="Z20" i="16"/>
  <c r="V20" i="16"/>
  <c r="Z17" i="16"/>
  <c r="N17" i="16"/>
  <c r="X31" i="15"/>
  <c r="Z31" i="15" s="1"/>
  <c r="W31" i="15"/>
  <c r="Y31" i="15"/>
  <c r="R31" i="15"/>
  <c r="S31" i="15"/>
  <c r="T31" i="15"/>
  <c r="U31" i="15"/>
  <c r="V31" i="15"/>
  <c r="L31" i="15"/>
  <c r="K31" i="15"/>
  <c r="M31" i="15"/>
  <c r="N31" i="15"/>
  <c r="F31" i="15"/>
  <c r="G31" i="15"/>
  <c r="H31" i="15"/>
  <c r="I31" i="15"/>
  <c r="Z22" i="15"/>
  <c r="V22" i="15"/>
  <c r="N22" i="15"/>
  <c r="P22" i="15"/>
  <c r="Z21" i="15"/>
  <c r="V21" i="15"/>
  <c r="N21" i="15"/>
  <c r="J21" i="15"/>
  <c r="P21" i="15"/>
  <c r="Z20" i="15"/>
  <c r="V20" i="15"/>
  <c r="Z17" i="15"/>
  <c r="N17" i="15"/>
  <c r="J16" i="15"/>
  <c r="AA15" i="15"/>
  <c r="Z32" i="14"/>
  <c r="V32" i="14"/>
  <c r="N32" i="14"/>
  <c r="J32" i="14"/>
  <c r="Z23" i="14"/>
  <c r="N23" i="14"/>
  <c r="J23" i="14"/>
  <c r="P23" i="14"/>
  <c r="Z22" i="14"/>
  <c r="N22" i="14"/>
  <c r="J22" i="14"/>
  <c r="Z21" i="14"/>
  <c r="Z18" i="14"/>
  <c r="N18" i="14"/>
  <c r="J17" i="14"/>
  <c r="B198" i="4"/>
  <c r="C18" i="4"/>
  <c r="B13" i="4"/>
  <c r="B9" i="4"/>
  <c r="B10" i="4"/>
  <c r="B11" i="4"/>
  <c r="D11" i="4" s="1"/>
  <c r="D17" i="4"/>
  <c r="D38" i="4" s="1"/>
  <c r="C17" i="4"/>
  <c r="F47" i="4"/>
  <c r="G47" i="4"/>
  <c r="B197" i="4"/>
  <c r="B202" i="4"/>
  <c r="B201" i="4"/>
  <c r="B200" i="4"/>
  <c r="E200" i="4" s="1"/>
  <c r="B199" i="4"/>
  <c r="G197" i="4"/>
  <c r="C197" i="4"/>
  <c r="E197" i="4"/>
  <c r="F198" i="4"/>
  <c r="G198" i="4"/>
  <c r="C198" i="4"/>
  <c r="E198" i="4"/>
  <c r="G199" i="4"/>
  <c r="C199" i="4" s="1"/>
  <c r="E199" i="4" s="1"/>
  <c r="G200" i="4"/>
  <c r="C200" i="4" s="1"/>
  <c r="G201" i="4"/>
  <c r="C201" i="4"/>
  <c r="G202" i="4"/>
  <c r="C202" i="4" s="1"/>
  <c r="E202" i="4" s="1"/>
  <c r="C196" i="4"/>
  <c r="C190" i="4"/>
  <c r="B191" i="4"/>
  <c r="E191" i="4" s="1"/>
  <c r="C191" i="4"/>
  <c r="C192" i="4"/>
  <c r="C194" i="4"/>
  <c r="C188" i="4"/>
  <c r="E65" i="4"/>
  <c r="D10" i="4"/>
  <c r="D9" i="4"/>
  <c r="D14" i="4"/>
  <c r="C65" i="4"/>
  <c r="F65" i="4"/>
  <c r="E103" i="4"/>
  <c r="E96" i="4" s="1"/>
  <c r="C107" i="4"/>
  <c r="E107" i="4" s="1"/>
  <c r="T35" i="9"/>
  <c r="W15" i="9"/>
  <c r="W16" i="9"/>
  <c r="W17" i="9"/>
  <c r="D3" i="11"/>
  <c r="T31" i="9"/>
  <c r="T25" i="9"/>
  <c r="K9" i="9"/>
  <c r="K3" i="9"/>
  <c r="K5" i="9" s="1"/>
  <c r="K6" i="9"/>
  <c r="T10" i="9"/>
  <c r="W10" i="9" s="1"/>
  <c r="Q4" i="9"/>
  <c r="W8" i="9"/>
  <c r="W9" i="9"/>
  <c r="K13" i="9"/>
  <c r="B13" i="9"/>
  <c r="C15" i="21" s="1"/>
  <c r="D15" i="21" s="1"/>
  <c r="E47" i="9"/>
  <c r="D4" i="11"/>
  <c r="E48" i="9"/>
  <c r="H22" i="6"/>
  <c r="G22" i="6"/>
  <c r="N22" i="6"/>
  <c r="M22" i="6"/>
  <c r="H38" i="6"/>
  <c r="G38" i="6"/>
  <c r="N38" i="6"/>
  <c r="M38" i="6"/>
  <c r="H54" i="6"/>
  <c r="G54" i="6"/>
  <c r="J54" i="6"/>
  <c r="I54" i="6"/>
  <c r="N54" i="6"/>
  <c r="M54" i="6"/>
  <c r="J86" i="6"/>
  <c r="I86" i="6"/>
  <c r="J102" i="6"/>
  <c r="I102" i="6"/>
  <c r="H118" i="6"/>
  <c r="G118" i="6"/>
  <c r="J118" i="6"/>
  <c r="I118" i="6"/>
  <c r="N134" i="6"/>
  <c r="M134" i="6"/>
  <c r="H278" i="6"/>
  <c r="G278" i="6"/>
  <c r="J278" i="6"/>
  <c r="I278" i="6"/>
  <c r="N278" i="6"/>
  <c r="M278" i="6"/>
  <c r="D2" i="11"/>
  <c r="B58" i="9"/>
  <c r="D56" i="9" s="1"/>
  <c r="D57" i="9"/>
  <c r="B35" i="4"/>
  <c r="C35" i="4"/>
  <c r="D35" i="4"/>
  <c r="E35" i="4"/>
  <c r="F35" i="4"/>
  <c r="G35" i="4"/>
  <c r="C15" i="4"/>
  <c r="C36" i="4" s="1"/>
  <c r="D15" i="4"/>
  <c r="D36" i="4"/>
  <c r="E36" i="4"/>
  <c r="G36" i="4"/>
  <c r="B37" i="4"/>
  <c r="C16" i="4"/>
  <c r="C37" i="4" s="1"/>
  <c r="D16" i="4"/>
  <c r="D37" i="4" s="1"/>
  <c r="E37" i="4"/>
  <c r="G37" i="4"/>
  <c r="B38" i="4"/>
  <c r="C38" i="4"/>
  <c r="E38" i="4"/>
  <c r="F38" i="4"/>
  <c r="G38" i="4"/>
  <c r="B39" i="4"/>
  <c r="E39" i="4"/>
  <c r="G39" i="4"/>
  <c r="C19" i="4"/>
  <c r="D19" i="4"/>
  <c r="D40" i="4" s="1"/>
  <c r="B41" i="4"/>
  <c r="C20" i="4"/>
  <c r="C41" i="4" s="1"/>
  <c r="D20" i="4"/>
  <c r="D41" i="4" s="1"/>
  <c r="E41" i="4"/>
  <c r="G41" i="4"/>
  <c r="C21" i="4"/>
  <c r="D21" i="4"/>
  <c r="T4" i="9"/>
  <c r="W5" i="9"/>
  <c r="W6" i="9"/>
  <c r="W7" i="9"/>
  <c r="T14" i="9"/>
  <c r="K7" i="9"/>
  <c r="B8" i="9"/>
  <c r="E215" i="40"/>
  <c r="E23" i="38"/>
  <c r="E22" i="38"/>
  <c r="E21" i="38"/>
  <c r="G103" i="6"/>
  <c r="F71" i="6"/>
  <c r="H167" i="6"/>
  <c r="R167" i="6" s="1"/>
  <c r="R167" i="40" s="1"/>
  <c r="E71" i="6"/>
  <c r="E71" i="40" s="1"/>
  <c r="G167" i="6"/>
  <c r="F75" i="40"/>
  <c r="H167" i="40"/>
  <c r="K24" i="29"/>
  <c r="L87" i="39"/>
  <c r="K87" i="39"/>
  <c r="C25" i="29"/>
  <c r="I89" i="39"/>
  <c r="F95" i="39"/>
  <c r="O26" i="29"/>
  <c r="H91" i="39"/>
  <c r="L91" i="39"/>
  <c r="F87" i="39"/>
  <c r="O24" i="29"/>
  <c r="D91" i="39"/>
  <c r="F89" i="39"/>
  <c r="E89" i="39"/>
  <c r="K91" i="39"/>
  <c r="L24" i="29"/>
  <c r="C24" i="29"/>
  <c r="J91" i="39"/>
  <c r="E91" i="39"/>
  <c r="O25" i="29"/>
  <c r="G91" i="39"/>
  <c r="E95" i="39"/>
  <c r="J89" i="39"/>
  <c r="D87" i="39"/>
  <c r="E87" i="39"/>
  <c r="C26" i="29"/>
  <c r="C23" i="29"/>
  <c r="F91" i="39"/>
  <c r="C89" i="39"/>
  <c r="J87" i="39"/>
  <c r="C91" i="39"/>
  <c r="I87" i="39"/>
  <c r="I91" i="39"/>
  <c r="D89" i="39"/>
  <c r="O23" i="29"/>
  <c r="C87" i="39"/>
  <c r="E18" i="5" l="1"/>
  <c r="P15" i="29"/>
  <c r="AA19" i="29"/>
  <c r="D19" i="29" s="1"/>
  <c r="D15" i="29"/>
  <c r="Q13" i="30"/>
  <c r="Q12" i="30"/>
  <c r="Q224" i="6"/>
  <c r="Q224" i="40" s="1"/>
  <c r="K224" i="40"/>
  <c r="E26" i="24"/>
  <c r="A42" i="24"/>
  <c r="E17" i="24"/>
  <c r="E23" i="24"/>
  <c r="Q218" i="6"/>
  <c r="Q218" i="40" s="1"/>
  <c r="K218" i="40"/>
  <c r="R253" i="6"/>
  <c r="L253" i="40"/>
  <c r="D8" i="5"/>
  <c r="P19" i="21"/>
  <c r="Q31" i="24"/>
  <c r="Q15" i="28"/>
  <c r="Q13" i="28" s="1"/>
  <c r="Q22" i="29"/>
  <c r="Q18" i="32"/>
  <c r="R18" i="32" s="1"/>
  <c r="O18" i="29"/>
  <c r="P18" i="29" s="1"/>
  <c r="C18" i="29"/>
  <c r="D18" i="29" s="1"/>
  <c r="B112" i="32"/>
  <c r="B114" i="32" s="1"/>
  <c r="P27" i="29" s="1"/>
  <c r="Q15" i="33"/>
  <c r="AA22" i="33"/>
  <c r="R257" i="6"/>
  <c r="R257" i="40" s="1"/>
  <c r="L257" i="40"/>
  <c r="E17" i="5"/>
  <c r="Q221" i="6"/>
  <c r="Q221" i="40" s="1"/>
  <c r="K221" i="40"/>
  <c r="O16" i="25"/>
  <c r="C16" i="25"/>
  <c r="Q167" i="6"/>
  <c r="Q15" i="24"/>
  <c r="E19" i="27"/>
  <c r="E15" i="30"/>
  <c r="E26" i="5"/>
  <c r="Q253" i="6"/>
  <c r="Q253" i="40" s="1"/>
  <c r="K253" i="40"/>
  <c r="Q258" i="6"/>
  <c r="Q258" i="40" s="1"/>
  <c r="Q29" i="27"/>
  <c r="O166" i="40"/>
  <c r="W13" i="9"/>
  <c r="O18" i="21" s="1"/>
  <c r="S17" i="21"/>
  <c r="S23" i="21" s="1"/>
  <c r="U17" i="21"/>
  <c r="U23" i="21" s="1"/>
  <c r="T17" i="21"/>
  <c r="T23" i="21" s="1"/>
  <c r="G287" i="40"/>
  <c r="F252" i="40"/>
  <c r="O258" i="40"/>
  <c r="P256" i="40"/>
  <c r="S255" i="40"/>
  <c r="H255" i="40"/>
  <c r="J250" i="40"/>
  <c r="N249" i="40"/>
  <c r="G254" i="40"/>
  <c r="M252" i="40"/>
  <c r="S251" i="40"/>
  <c r="O235" i="6"/>
  <c r="J214" i="40"/>
  <c r="F200" i="40"/>
  <c r="O210" i="40"/>
  <c r="G210" i="40"/>
  <c r="N209" i="40"/>
  <c r="H209" i="40"/>
  <c r="R208" i="40"/>
  <c r="I208" i="40"/>
  <c r="P207" i="40"/>
  <c r="H207" i="40"/>
  <c r="Q202" i="40"/>
  <c r="O202" i="40"/>
  <c r="I202" i="40"/>
  <c r="Q201" i="40"/>
  <c r="P201" i="40"/>
  <c r="H201" i="40"/>
  <c r="R200" i="40"/>
  <c r="K200" i="40"/>
  <c r="S199" i="40"/>
  <c r="L199" i="40"/>
  <c r="I206" i="40"/>
  <c r="I205" i="40"/>
  <c r="L204" i="40"/>
  <c r="S203" i="40"/>
  <c r="L203" i="40"/>
  <c r="Q128" i="40"/>
  <c r="M13" i="31"/>
  <c r="H91" i="6"/>
  <c r="O21" i="34"/>
  <c r="P21" i="34" s="1"/>
  <c r="AF21" i="18"/>
  <c r="H87" i="6"/>
  <c r="D31" i="5"/>
  <c r="D14" i="5"/>
  <c r="F257" i="40"/>
  <c r="J257" i="40"/>
  <c r="M256" i="40"/>
  <c r="M255" i="40"/>
  <c r="G250" i="40"/>
  <c r="O248" i="40"/>
  <c r="P247" i="40"/>
  <c r="P254" i="40"/>
  <c r="S253" i="40"/>
  <c r="H253" i="40"/>
  <c r="N252" i="40"/>
  <c r="P251" i="40"/>
  <c r="K230" i="40"/>
  <c r="G230" i="40"/>
  <c r="M230" i="40"/>
  <c r="I230" i="40"/>
  <c r="H214" i="40"/>
  <c r="F209" i="40"/>
  <c r="F205" i="40"/>
  <c r="M210" i="40"/>
  <c r="H210" i="40"/>
  <c r="K209" i="40"/>
  <c r="S208" i="40"/>
  <c r="O208" i="40"/>
  <c r="J208" i="40"/>
  <c r="N207" i="40"/>
  <c r="E207" i="40"/>
  <c r="P202" i="40"/>
  <c r="G202" i="40"/>
  <c r="K201" i="40"/>
  <c r="J200" i="40"/>
  <c r="O199" i="40"/>
  <c r="G199" i="40"/>
  <c r="O206" i="40"/>
  <c r="J206" i="40"/>
  <c r="P205" i="40"/>
  <c r="H205" i="40"/>
  <c r="O204" i="40"/>
  <c r="I204" i="40"/>
  <c r="O203" i="40"/>
  <c r="E25" i="33"/>
  <c r="K122" i="40"/>
  <c r="O19" i="27"/>
  <c r="Q19" i="27" s="1"/>
  <c r="O16" i="27"/>
  <c r="AE15" i="17"/>
  <c r="AE13" i="17"/>
  <c r="G171" i="6"/>
  <c r="E262" i="6"/>
  <c r="C15" i="30" s="1"/>
  <c r="AE20" i="30" s="1"/>
  <c r="E144" i="4"/>
  <c r="C16" i="41"/>
  <c r="S122" i="40"/>
  <c r="J15" i="28"/>
  <c r="Z27" i="22"/>
  <c r="X21" i="22"/>
  <c r="Z26" i="22"/>
  <c r="G26" i="24"/>
  <c r="O18" i="27"/>
  <c r="K176" i="40"/>
  <c r="K168" i="40"/>
  <c r="K166" i="40" s="1"/>
  <c r="AE24" i="20"/>
  <c r="AE20" i="31"/>
  <c r="G107" i="6"/>
  <c r="E279" i="6"/>
  <c r="H171" i="6"/>
  <c r="G11" i="4"/>
  <c r="Q121" i="40" s="1"/>
  <c r="C175" i="4"/>
  <c r="C119" i="4"/>
  <c r="B138" i="4"/>
  <c r="C143" i="4" s="1"/>
  <c r="N166" i="40"/>
  <c r="M171" i="40"/>
  <c r="S120" i="40"/>
  <c r="O75" i="6"/>
  <c r="O75" i="40" s="1"/>
  <c r="AF23" i="24"/>
  <c r="L22" i="23"/>
  <c r="N20" i="22"/>
  <c r="C15" i="18"/>
  <c r="C21" i="20"/>
  <c r="B185" i="4"/>
  <c r="N77" i="5"/>
  <c r="E77" i="5" s="1"/>
  <c r="M109" i="5"/>
  <c r="D109" i="5" s="1"/>
  <c r="N23" i="5"/>
  <c r="M77" i="5"/>
  <c r="D77" i="5" s="1"/>
  <c r="N109" i="5"/>
  <c r="E109" i="5" s="1"/>
  <c r="M79" i="5"/>
  <c r="D79" i="5" s="1"/>
  <c r="M53" i="5"/>
  <c r="D53" i="5" s="1"/>
  <c r="N21" i="5"/>
  <c r="C27" i="14" s="1"/>
  <c r="N39" i="5"/>
  <c r="E39" i="5" s="1"/>
  <c r="M21" i="5"/>
  <c r="M49" i="5"/>
  <c r="D49" i="5" s="1"/>
  <c r="N51" i="5"/>
  <c r="E51" i="5" s="1"/>
  <c r="P26" i="29"/>
  <c r="Q26" i="29"/>
  <c r="M85" i="5"/>
  <c r="D85" i="5" s="1"/>
  <c r="D15" i="5" s="1"/>
  <c r="N85" i="5"/>
  <c r="E85" i="5" s="1"/>
  <c r="E15" i="5" s="1"/>
  <c r="M25" i="5"/>
  <c r="M39" i="5"/>
  <c r="D39" i="5" s="1"/>
  <c r="M51" i="5"/>
  <c r="D51" i="5" s="1"/>
  <c r="L109" i="6" s="1"/>
  <c r="N79" i="5"/>
  <c r="E79" i="5" s="1"/>
  <c r="N49" i="5"/>
  <c r="E49" i="5" s="1"/>
  <c r="P25" i="29"/>
  <c r="D25" i="29"/>
  <c r="M23" i="5"/>
  <c r="M81" i="5"/>
  <c r="D81" i="5" s="1"/>
  <c r="M105" i="5"/>
  <c r="D105" i="5" s="1"/>
  <c r="N25" i="5"/>
  <c r="N81" i="5"/>
  <c r="E81" i="5" s="1"/>
  <c r="N53" i="5"/>
  <c r="E53" i="5" s="1"/>
  <c r="N105" i="5"/>
  <c r="E105" i="5" s="1"/>
  <c r="P23" i="29"/>
  <c r="D23" i="29"/>
  <c r="E24" i="29"/>
  <c r="D24" i="29"/>
  <c r="W24" i="29"/>
  <c r="N24" i="29"/>
  <c r="Q24" i="29"/>
  <c r="P24" i="29"/>
  <c r="E26" i="29"/>
  <c r="D26" i="29"/>
  <c r="X24" i="29"/>
  <c r="Q16" i="24"/>
  <c r="E16" i="24"/>
  <c r="E15" i="25"/>
  <c r="Q15" i="25"/>
  <c r="E13" i="28"/>
  <c r="Q15" i="29"/>
  <c r="E15" i="29"/>
  <c r="P15" i="30"/>
  <c r="D15" i="30"/>
  <c r="P22" i="29"/>
  <c r="D22" i="29"/>
  <c r="D19" i="33"/>
  <c r="P19" i="33"/>
  <c r="R88" i="6"/>
  <c r="R110" i="6"/>
  <c r="P279" i="40"/>
  <c r="M286" i="40"/>
  <c r="L285" i="40"/>
  <c r="G284" i="40"/>
  <c r="F166" i="40"/>
  <c r="D42" i="4"/>
  <c r="F26" i="6"/>
  <c r="Q15" i="17"/>
  <c r="E15" i="17"/>
  <c r="K257" i="40"/>
  <c r="Q257" i="6"/>
  <c r="Q257" i="40" s="1"/>
  <c r="K250" i="40"/>
  <c r="Q250" i="6"/>
  <c r="Q250" i="40" s="1"/>
  <c r="N98" i="6"/>
  <c r="R250" i="6"/>
  <c r="R250" i="40" s="1"/>
  <c r="L250" i="40"/>
  <c r="N90" i="6"/>
  <c r="L90" i="6" s="1"/>
  <c r="S288" i="40"/>
  <c r="H282" i="40"/>
  <c r="K280" i="40"/>
  <c r="G286" i="40"/>
  <c r="L225" i="40"/>
  <c r="V30" i="16"/>
  <c r="Q21" i="24"/>
  <c r="E21" i="24"/>
  <c r="Q16" i="25"/>
  <c r="E16" i="25"/>
  <c r="E13" i="30"/>
  <c r="E12" i="30"/>
  <c r="Q16" i="33"/>
  <c r="E16" i="33"/>
  <c r="S198" i="6"/>
  <c r="E28" i="5"/>
  <c r="E14" i="5" s="1"/>
  <c r="Q222" i="6"/>
  <c r="Q222" i="40" s="1"/>
  <c r="K222" i="40"/>
  <c r="M89" i="6"/>
  <c r="R224" i="6"/>
  <c r="R224" i="40" s="1"/>
  <c r="L224" i="40"/>
  <c r="R112" i="6"/>
  <c r="D16" i="5"/>
  <c r="H138" i="5"/>
  <c r="E138" i="5" s="1"/>
  <c r="K248" i="6" s="1"/>
  <c r="D138" i="5"/>
  <c r="L248" i="6" s="1"/>
  <c r="F281" i="40"/>
  <c r="P290" i="40"/>
  <c r="S287" i="40"/>
  <c r="Q282" i="40"/>
  <c r="G281" i="40"/>
  <c r="H280" i="40"/>
  <c r="S286" i="40"/>
  <c r="S278" i="6"/>
  <c r="S262" i="6"/>
  <c r="F230" i="40"/>
  <c r="K220" i="40"/>
  <c r="E166" i="40"/>
  <c r="M166" i="40"/>
  <c r="I166" i="40"/>
  <c r="Q10" i="32"/>
  <c r="K247" i="40"/>
  <c r="R220" i="6"/>
  <c r="R220" i="40" s="1"/>
  <c r="L220" i="40"/>
  <c r="R108" i="6"/>
  <c r="Q285" i="40"/>
  <c r="R283" i="40"/>
  <c r="R286" i="40"/>
  <c r="Q284" i="40"/>
  <c r="G283" i="40"/>
  <c r="K283" i="40"/>
  <c r="O283" i="40"/>
  <c r="H284" i="40"/>
  <c r="L284" i="40"/>
  <c r="P284" i="40"/>
  <c r="E285" i="40"/>
  <c r="I285" i="40"/>
  <c r="M285" i="40"/>
  <c r="J286" i="40"/>
  <c r="N286" i="40"/>
  <c r="G279" i="40"/>
  <c r="K279" i="40"/>
  <c r="O279" i="40"/>
  <c r="E280" i="40"/>
  <c r="I280" i="40"/>
  <c r="M280" i="40"/>
  <c r="H281" i="40"/>
  <c r="L281" i="40"/>
  <c r="P281" i="40"/>
  <c r="G282" i="40"/>
  <c r="K282" i="40"/>
  <c r="O282" i="40"/>
  <c r="J287" i="40"/>
  <c r="N287" i="40"/>
  <c r="E288" i="40"/>
  <c r="I288" i="40"/>
  <c r="M288" i="40"/>
  <c r="H289" i="40"/>
  <c r="L289" i="40"/>
  <c r="P289" i="40"/>
  <c r="G290" i="40"/>
  <c r="K290" i="40"/>
  <c r="O290" i="40"/>
  <c r="F279" i="40"/>
  <c r="F287" i="40"/>
  <c r="F283" i="40"/>
  <c r="F42" i="4"/>
  <c r="E283" i="40"/>
  <c r="L283" i="40"/>
  <c r="J284" i="40"/>
  <c r="M284" i="40"/>
  <c r="H285" i="40"/>
  <c r="K285" i="40"/>
  <c r="I286" i="40"/>
  <c r="P286" i="40"/>
  <c r="E279" i="40"/>
  <c r="L279" i="40"/>
  <c r="G280" i="40"/>
  <c r="N280" i="40"/>
  <c r="J281" i="40"/>
  <c r="M281" i="40"/>
  <c r="J282" i="40"/>
  <c r="M282" i="40"/>
  <c r="I287" i="40"/>
  <c r="P287" i="40"/>
  <c r="L288" i="40"/>
  <c r="O288" i="40"/>
  <c r="E289" i="40"/>
  <c r="K289" i="40"/>
  <c r="E290" i="40"/>
  <c r="L290" i="40"/>
  <c r="F285" i="40"/>
  <c r="F282" i="40"/>
  <c r="AB18" i="31"/>
  <c r="AB15" i="31"/>
  <c r="B42" i="4"/>
  <c r="E42" i="4"/>
  <c r="G42" i="4"/>
  <c r="J283" i="40"/>
  <c r="M283" i="40"/>
  <c r="E284" i="40"/>
  <c r="K284" i="40"/>
  <c r="J285" i="40"/>
  <c r="P285" i="40"/>
  <c r="H286" i="40"/>
  <c r="K286" i="40"/>
  <c r="J279" i="40"/>
  <c r="M279" i="40"/>
  <c r="S279" i="40"/>
  <c r="L280" i="40"/>
  <c r="O280" i="40"/>
  <c r="E281" i="40"/>
  <c r="K281" i="40"/>
  <c r="E282" i="40"/>
  <c r="L282" i="40"/>
  <c r="H287" i="40"/>
  <c r="K287" i="40"/>
  <c r="Q287" i="40"/>
  <c r="G288" i="40"/>
  <c r="N288" i="40"/>
  <c r="J289" i="40"/>
  <c r="M289" i="40"/>
  <c r="J290" i="40"/>
  <c r="M290" i="40"/>
  <c r="F280" i="40"/>
  <c r="F289" i="40"/>
  <c r="H283" i="40"/>
  <c r="N283" i="40"/>
  <c r="S283" i="40"/>
  <c r="I284" i="40"/>
  <c r="O284" i="40"/>
  <c r="G285" i="40"/>
  <c r="N285" i="40"/>
  <c r="E286" i="40"/>
  <c r="L286" i="40"/>
  <c r="O286" i="40"/>
  <c r="H279" i="40"/>
  <c r="N279" i="40"/>
  <c r="J280" i="40"/>
  <c r="P280" i="40"/>
  <c r="S280" i="40"/>
  <c r="I281" i="40"/>
  <c r="O281" i="40"/>
  <c r="S281" i="40"/>
  <c r="I282" i="40"/>
  <c r="P282" i="40"/>
  <c r="E287" i="40"/>
  <c r="L287" i="40"/>
  <c r="O287" i="40"/>
  <c r="H288" i="40"/>
  <c r="K288" i="40"/>
  <c r="G289" i="40"/>
  <c r="N289" i="40"/>
  <c r="Q289" i="40"/>
  <c r="H290" i="40"/>
  <c r="N290" i="40"/>
  <c r="Q290" i="40"/>
  <c r="F286" i="40"/>
  <c r="F288" i="40"/>
  <c r="F16" i="14"/>
  <c r="R16" i="16"/>
  <c r="V16" i="16" s="1"/>
  <c r="F16" i="16"/>
  <c r="R16" i="14"/>
  <c r="V16" i="14" s="1"/>
  <c r="X16" i="16"/>
  <c r="L16" i="14"/>
  <c r="X16" i="14"/>
  <c r="L16" i="16"/>
  <c r="E41" i="6"/>
  <c r="E49" i="6"/>
  <c r="H16" i="14"/>
  <c r="H16" i="16"/>
  <c r="D18" i="4"/>
  <c r="D39" i="4" s="1"/>
  <c r="C39" i="4"/>
  <c r="P15" i="33"/>
  <c r="D15" i="33"/>
  <c r="E13" i="5"/>
  <c r="D17" i="5"/>
  <c r="R94" i="6"/>
  <c r="F290" i="40"/>
  <c r="J288" i="40"/>
  <c r="N281" i="40"/>
  <c r="I279" i="40"/>
  <c r="S284" i="40"/>
  <c r="Q262" i="6"/>
  <c r="D43" i="41" s="1"/>
  <c r="Q264" i="40"/>
  <c r="Q18" i="28"/>
  <c r="P235" i="6"/>
  <c r="K217" i="40"/>
  <c r="S182" i="40"/>
  <c r="S169" i="40"/>
  <c r="S166" i="40" s="1"/>
  <c r="S166" i="6"/>
  <c r="J166" i="40"/>
  <c r="Q167" i="40"/>
  <c r="J31" i="15"/>
  <c r="N30" i="16"/>
  <c r="E13" i="24"/>
  <c r="E12" i="24"/>
  <c r="E15" i="26"/>
  <c r="Q15" i="26"/>
  <c r="Q12" i="28"/>
  <c r="Q18" i="29"/>
  <c r="AA24" i="21"/>
  <c r="AA18" i="21"/>
  <c r="AA16" i="22" s="1"/>
  <c r="B12" i="4"/>
  <c r="D22" i="33"/>
  <c r="P22" i="33"/>
  <c r="E16" i="5"/>
  <c r="E8" i="5"/>
  <c r="R258" i="6"/>
  <c r="R258" i="40" s="1"/>
  <c r="L258" i="40"/>
  <c r="R113" i="6"/>
  <c r="R217" i="6"/>
  <c r="R217" i="40" s="1"/>
  <c r="L217" i="40"/>
  <c r="R105" i="6"/>
  <c r="D13" i="5"/>
  <c r="H133" i="5"/>
  <c r="E133" i="5" s="1"/>
  <c r="K251" i="6" s="1"/>
  <c r="K251" i="40" s="1"/>
  <c r="D133" i="5"/>
  <c r="L251" i="6" s="1"/>
  <c r="L251" i="40" s="1"/>
  <c r="S18" i="6"/>
  <c r="S16" i="6"/>
  <c r="S14" i="6"/>
  <c r="F284" i="40"/>
  <c r="I290" i="40"/>
  <c r="O289" i="40"/>
  <c r="M287" i="40"/>
  <c r="Q281" i="40"/>
  <c r="O285" i="40"/>
  <c r="N284" i="40"/>
  <c r="I283" i="40"/>
  <c r="N230" i="40"/>
  <c r="J230" i="40"/>
  <c r="O230" i="6"/>
  <c r="O235" i="40"/>
  <c r="O230" i="40" s="1"/>
  <c r="G214" i="40"/>
  <c r="S119" i="40"/>
  <c r="K21" i="22"/>
  <c r="N21" i="22" s="1"/>
  <c r="K22" i="23"/>
  <c r="N22" i="23" s="1"/>
  <c r="S15" i="28"/>
  <c r="S13" i="28" s="1"/>
  <c r="AF16" i="28" s="1"/>
  <c r="W15" i="28"/>
  <c r="U15" i="28"/>
  <c r="U13" i="28" s="1"/>
  <c r="AF18" i="28" s="1"/>
  <c r="Y15" i="28"/>
  <c r="Y13" i="28" s="1"/>
  <c r="AF13" i="28" s="1"/>
  <c r="P15" i="28"/>
  <c r="O17" i="19"/>
  <c r="J13" i="28"/>
  <c r="C16" i="21"/>
  <c r="K16" i="9"/>
  <c r="U17" i="16"/>
  <c r="F42" i="6"/>
  <c r="J30" i="16"/>
  <c r="N25" i="21"/>
  <c r="X15" i="28"/>
  <c r="X13" i="28" s="1"/>
  <c r="AF11" i="28" s="1"/>
  <c r="O32" i="21"/>
  <c r="K75" i="6"/>
  <c r="L13" i="33"/>
  <c r="AE11" i="33" s="1"/>
  <c r="K13" i="33"/>
  <c r="G71" i="6"/>
  <c r="G167" i="40"/>
  <c r="F71" i="40"/>
  <c r="E201" i="4"/>
  <c r="AA16" i="15"/>
  <c r="P16" i="15" s="1"/>
  <c r="D18" i="31"/>
  <c r="E19" i="33"/>
  <c r="K89" i="6"/>
  <c r="Q254" i="40"/>
  <c r="Q252" i="40"/>
  <c r="R256" i="40"/>
  <c r="R218" i="6"/>
  <c r="R218" i="40" s="1"/>
  <c r="L218" i="40"/>
  <c r="N106" i="6"/>
  <c r="R249" i="40"/>
  <c r="N89" i="6"/>
  <c r="D24" i="5"/>
  <c r="D10" i="5" s="1"/>
  <c r="R93" i="6"/>
  <c r="R92" i="6"/>
  <c r="Q288" i="40"/>
  <c r="R262" i="6"/>
  <c r="K43" i="41" s="1"/>
  <c r="F256" i="40"/>
  <c r="M258" i="40"/>
  <c r="J258" i="40"/>
  <c r="N257" i="40"/>
  <c r="G257" i="40"/>
  <c r="K256" i="40"/>
  <c r="H256" i="40"/>
  <c r="E250" i="40"/>
  <c r="O249" i="40"/>
  <c r="L249" i="40"/>
  <c r="S248" i="40"/>
  <c r="P248" i="40"/>
  <c r="I248" i="40"/>
  <c r="S247" i="40"/>
  <c r="S246" i="6"/>
  <c r="M247" i="40"/>
  <c r="J247" i="40"/>
  <c r="K254" i="40"/>
  <c r="H254" i="40"/>
  <c r="P253" i="40"/>
  <c r="J253" i="40"/>
  <c r="K252" i="40"/>
  <c r="E252" i="40"/>
  <c r="M251" i="40"/>
  <c r="Q232" i="6"/>
  <c r="Q232" i="40" s="1"/>
  <c r="Q230" i="40" s="1"/>
  <c r="C38" i="43" s="1"/>
  <c r="L230" i="40"/>
  <c r="H230" i="40"/>
  <c r="I214" i="40"/>
  <c r="Q204" i="40"/>
  <c r="Q206" i="40"/>
  <c r="R206" i="40"/>
  <c r="Q205" i="40"/>
  <c r="I203" i="40"/>
  <c r="M203" i="40"/>
  <c r="J204" i="40"/>
  <c r="N204" i="40"/>
  <c r="G205" i="40"/>
  <c r="K205" i="40"/>
  <c r="O205" i="40"/>
  <c r="H206" i="40"/>
  <c r="L206" i="40"/>
  <c r="P206" i="40"/>
  <c r="I199" i="40"/>
  <c r="M199" i="40"/>
  <c r="H200" i="40"/>
  <c r="L200" i="40"/>
  <c r="P200" i="40"/>
  <c r="E201" i="40"/>
  <c r="I201" i="40"/>
  <c r="M201" i="40"/>
  <c r="J202" i="40"/>
  <c r="N202" i="40"/>
  <c r="G207" i="40"/>
  <c r="K207" i="40"/>
  <c r="O207" i="40"/>
  <c r="H208" i="40"/>
  <c r="L208" i="40"/>
  <c r="P208" i="40"/>
  <c r="E209" i="40"/>
  <c r="I209" i="40"/>
  <c r="M209" i="40"/>
  <c r="J210" i="40"/>
  <c r="N210" i="40"/>
  <c r="F206" i="40"/>
  <c r="F202" i="40"/>
  <c r="F210" i="40"/>
  <c r="F37" i="4"/>
  <c r="P166" i="40"/>
  <c r="L166" i="40"/>
  <c r="Q226" i="6"/>
  <c r="Q226" i="40" s="1"/>
  <c r="K13" i="28"/>
  <c r="N15" i="28"/>
  <c r="O19" i="29"/>
  <c r="Q18" i="27"/>
  <c r="F219" i="6"/>
  <c r="F215" i="6"/>
  <c r="AF20" i="27"/>
  <c r="Q15" i="27"/>
  <c r="E119" i="6"/>
  <c r="O15" i="20"/>
  <c r="E34" i="41"/>
  <c r="I13" i="20"/>
  <c r="AE20" i="20"/>
  <c r="E87" i="6"/>
  <c r="O15" i="18"/>
  <c r="C15" i="34"/>
  <c r="AE20" i="18"/>
  <c r="N13" i="24"/>
  <c r="L59" i="6"/>
  <c r="O13" i="17"/>
  <c r="Y13" i="17"/>
  <c r="L55" i="6"/>
  <c r="AF23" i="17"/>
  <c r="Q18" i="17"/>
  <c r="Q190" i="40"/>
  <c r="E18" i="29"/>
  <c r="J24" i="41"/>
  <c r="Q75" i="6"/>
  <c r="Q75" i="40" s="1"/>
  <c r="E75" i="40"/>
  <c r="F25" i="6"/>
  <c r="AA17" i="14"/>
  <c r="O12" i="28"/>
  <c r="C16" i="29"/>
  <c r="S8" i="32"/>
  <c r="S10" i="32" s="1"/>
  <c r="O70" i="6"/>
  <c r="D18" i="5"/>
  <c r="R97" i="6"/>
  <c r="R216" i="6"/>
  <c r="R216" i="40" s="1"/>
  <c r="L216" i="40"/>
  <c r="R104" i="6"/>
  <c r="O23" i="18"/>
  <c r="S290" i="40"/>
  <c r="G251" i="40"/>
  <c r="O251" i="40"/>
  <c r="H252" i="40"/>
  <c r="P252" i="40"/>
  <c r="E253" i="40"/>
  <c r="I253" i="40"/>
  <c r="M253" i="40"/>
  <c r="J254" i="40"/>
  <c r="N254" i="40"/>
  <c r="G247" i="40"/>
  <c r="O247" i="40"/>
  <c r="J248" i="40"/>
  <c r="N248" i="40"/>
  <c r="E249" i="40"/>
  <c r="I249" i="40"/>
  <c r="M249" i="40"/>
  <c r="H250" i="40"/>
  <c r="P250" i="40"/>
  <c r="G255" i="40"/>
  <c r="O255" i="40"/>
  <c r="J256" i="40"/>
  <c r="N256" i="40"/>
  <c r="E257" i="40"/>
  <c r="I257" i="40"/>
  <c r="M257" i="40"/>
  <c r="H258" i="40"/>
  <c r="P258" i="40"/>
  <c r="F254" i="40"/>
  <c r="F250" i="40"/>
  <c r="F258" i="40"/>
  <c r="AB19" i="29"/>
  <c r="E19" i="29" s="1"/>
  <c r="AB17" i="29"/>
  <c r="F40" i="4"/>
  <c r="K216" i="40"/>
  <c r="L221" i="40"/>
  <c r="S123" i="6"/>
  <c r="S123" i="40" s="1"/>
  <c r="G13" i="24"/>
  <c r="J26" i="24"/>
  <c r="Q16" i="27"/>
  <c r="Z22" i="33"/>
  <c r="X13" i="33"/>
  <c r="F18" i="31"/>
  <c r="AE23" i="31"/>
  <c r="L18" i="31"/>
  <c r="L13" i="31" s="1"/>
  <c r="G18" i="31"/>
  <c r="G13" i="31" s="1"/>
  <c r="K18" i="31"/>
  <c r="E103" i="6"/>
  <c r="O16" i="22"/>
  <c r="E70" i="6"/>
  <c r="W14" i="9"/>
  <c r="C42" i="4"/>
  <c r="G40" i="4"/>
  <c r="C40" i="4"/>
  <c r="K14" i="9"/>
  <c r="F24" i="6"/>
  <c r="M16" i="16"/>
  <c r="M16" i="14"/>
  <c r="K10" i="9"/>
  <c r="E18" i="28"/>
  <c r="E12" i="28" s="1"/>
  <c r="AB25" i="29"/>
  <c r="Q25" i="29" s="1"/>
  <c r="Q16" i="29"/>
  <c r="Q13" i="32"/>
  <c r="N19" i="33"/>
  <c r="AA16" i="33"/>
  <c r="M96" i="6"/>
  <c r="K96" i="6" s="1"/>
  <c r="R254" i="40"/>
  <c r="F70" i="6"/>
  <c r="G102" i="6"/>
  <c r="E40" i="4"/>
  <c r="B40" i="4"/>
  <c r="K15" i="9"/>
  <c r="Q3" i="9"/>
  <c r="W4" i="9"/>
  <c r="C16" i="14"/>
  <c r="O16" i="14"/>
  <c r="K4" i="9"/>
  <c r="D65" i="4"/>
  <c r="V16" i="15"/>
  <c r="AA17" i="15"/>
  <c r="P17" i="19"/>
  <c r="P17" i="23"/>
  <c r="AB23" i="29"/>
  <c r="Q23" i="29" s="1"/>
  <c r="E18" i="31"/>
  <c r="R8" i="32"/>
  <c r="Q16" i="32" s="1"/>
  <c r="Q17" i="32" s="1"/>
  <c r="C17" i="29"/>
  <c r="O17" i="29"/>
  <c r="F251" i="6" s="1"/>
  <c r="K166" i="6"/>
  <c r="E24" i="5"/>
  <c r="E10" i="5" s="1"/>
  <c r="M93" i="6"/>
  <c r="N222" i="6"/>
  <c r="S9" i="6"/>
  <c r="S282" i="40"/>
  <c r="S285" i="40"/>
  <c r="S262" i="40"/>
  <c r="R267" i="40"/>
  <c r="R269" i="40"/>
  <c r="Q267" i="40"/>
  <c r="Q262" i="40" s="1"/>
  <c r="C40" i="43" s="1"/>
  <c r="Q269" i="40"/>
  <c r="R270" i="40"/>
  <c r="Q268" i="40"/>
  <c r="R268" i="40"/>
  <c r="R262" i="40" s="1"/>
  <c r="D40" i="43" s="1"/>
  <c r="Q270" i="40"/>
  <c r="H267" i="40"/>
  <c r="L267" i="40"/>
  <c r="P267" i="40"/>
  <c r="E268" i="40"/>
  <c r="I268" i="40"/>
  <c r="M268" i="40"/>
  <c r="J269" i="40"/>
  <c r="J262" i="40" s="1"/>
  <c r="N269" i="40"/>
  <c r="G270" i="40"/>
  <c r="K270" i="40"/>
  <c r="O270" i="40"/>
  <c r="H263" i="40"/>
  <c r="L263" i="40"/>
  <c r="P263" i="40"/>
  <c r="G264" i="40"/>
  <c r="G262" i="40" s="1"/>
  <c r="K264" i="40"/>
  <c r="O264" i="40"/>
  <c r="H265" i="40"/>
  <c r="L265" i="40"/>
  <c r="P265" i="40"/>
  <c r="E266" i="40"/>
  <c r="E262" i="40" s="1"/>
  <c r="I266" i="40"/>
  <c r="M266" i="40"/>
  <c r="M262" i="40" s="1"/>
  <c r="J271" i="40"/>
  <c r="N271" i="40"/>
  <c r="G272" i="40"/>
  <c r="K272" i="40"/>
  <c r="O272" i="40"/>
  <c r="H273" i="40"/>
  <c r="L273" i="40"/>
  <c r="P273" i="40"/>
  <c r="E274" i="40"/>
  <c r="I274" i="40"/>
  <c r="M274" i="40"/>
  <c r="F263" i="40"/>
  <c r="F262" i="40" s="1"/>
  <c r="F271" i="40"/>
  <c r="F267" i="40"/>
  <c r="F41" i="4"/>
  <c r="F253" i="40"/>
  <c r="N258" i="40"/>
  <c r="G258" i="40"/>
  <c r="H257" i="40"/>
  <c r="O256" i="40"/>
  <c r="L256" i="40"/>
  <c r="E256" i="40"/>
  <c r="P255" i="40"/>
  <c r="I255" i="40"/>
  <c r="S250" i="40"/>
  <c r="O250" i="40"/>
  <c r="I250" i="40"/>
  <c r="P249" i="40"/>
  <c r="J249" i="40"/>
  <c r="M248" i="40"/>
  <c r="G248" i="40"/>
  <c r="N247" i="40"/>
  <c r="N246" i="40" s="1"/>
  <c r="H247" i="40"/>
  <c r="O254" i="40"/>
  <c r="L254" i="40"/>
  <c r="E254" i="40"/>
  <c r="N253" i="40"/>
  <c r="G253" i="40"/>
  <c r="O252" i="40"/>
  <c r="I252" i="40"/>
  <c r="N251" i="40"/>
  <c r="H251" i="40"/>
  <c r="K225" i="40"/>
  <c r="O219" i="6"/>
  <c r="E28" i="27"/>
  <c r="P219" i="6"/>
  <c r="F201" i="40"/>
  <c r="F204" i="40"/>
  <c r="P210" i="40"/>
  <c r="I210" i="40"/>
  <c r="S209" i="40"/>
  <c r="S198" i="40" s="1"/>
  <c r="O209" i="40"/>
  <c r="L209" i="40"/>
  <c r="N208" i="40"/>
  <c r="G208" i="40"/>
  <c r="Q207" i="40"/>
  <c r="M207" i="40"/>
  <c r="J207" i="40"/>
  <c r="K202" i="40"/>
  <c r="H202" i="40"/>
  <c r="N201" i="40"/>
  <c r="G201" i="40"/>
  <c r="Q200" i="40"/>
  <c r="O200" i="40"/>
  <c r="O198" i="40" s="1"/>
  <c r="I200" i="40"/>
  <c r="P199" i="40"/>
  <c r="J199" i="40"/>
  <c r="K206" i="40"/>
  <c r="E206" i="40"/>
  <c r="M205" i="40"/>
  <c r="J205" i="40"/>
  <c r="K204" i="40"/>
  <c r="H204" i="40"/>
  <c r="P203" i="40"/>
  <c r="J203" i="40"/>
  <c r="S182" i="6"/>
  <c r="R190" i="40"/>
  <c r="R188" i="40"/>
  <c r="I187" i="40"/>
  <c r="P187" i="40"/>
  <c r="E188" i="40"/>
  <c r="I188" i="40"/>
  <c r="M188" i="40"/>
  <c r="J189" i="40"/>
  <c r="N189" i="40"/>
  <c r="G190" i="40"/>
  <c r="K190" i="40"/>
  <c r="O190" i="40"/>
  <c r="H183" i="40"/>
  <c r="L183" i="40"/>
  <c r="P183" i="40"/>
  <c r="E184" i="40"/>
  <c r="I184" i="40"/>
  <c r="M184" i="40"/>
  <c r="M182" i="40" s="1"/>
  <c r="J185" i="40"/>
  <c r="N185" i="40"/>
  <c r="N182" i="40" s="1"/>
  <c r="G186" i="40"/>
  <c r="K186" i="40"/>
  <c r="K182" i="40" s="1"/>
  <c r="O186" i="40"/>
  <c r="H191" i="40"/>
  <c r="L191" i="40"/>
  <c r="P191" i="40"/>
  <c r="E192" i="40"/>
  <c r="I192" i="40"/>
  <c r="M192" i="40"/>
  <c r="J193" i="40"/>
  <c r="N193" i="40"/>
  <c r="G194" i="40"/>
  <c r="K194" i="40"/>
  <c r="O194" i="40"/>
  <c r="F189" i="40"/>
  <c r="F185" i="40"/>
  <c r="F193" i="40"/>
  <c r="AB19" i="25"/>
  <c r="Q19" i="25" s="1"/>
  <c r="F36" i="4"/>
  <c r="Q176" i="6"/>
  <c r="Q176" i="40" s="1"/>
  <c r="G65" i="4"/>
  <c r="R15" i="28"/>
  <c r="O16" i="30"/>
  <c r="C16" i="30"/>
  <c r="T15" i="28"/>
  <c r="T13" i="28" s="1"/>
  <c r="AF17" i="28" s="1"/>
  <c r="Q230" i="6"/>
  <c r="D41" i="41" s="1"/>
  <c r="F41" i="41" s="1"/>
  <c r="G41" i="41" s="1"/>
  <c r="P31" i="21"/>
  <c r="AA27" i="21"/>
  <c r="F203" i="6"/>
  <c r="F199" i="6"/>
  <c r="W13" i="26"/>
  <c r="R13" i="26"/>
  <c r="O13" i="26"/>
  <c r="AF11" i="26" s="1"/>
  <c r="AF20" i="26"/>
  <c r="R122" i="6"/>
  <c r="R122" i="40" s="1"/>
  <c r="L122" i="40"/>
  <c r="W21" i="22"/>
  <c r="Z21" i="22" s="1"/>
  <c r="W22" i="23"/>
  <c r="Z22" i="23" s="1"/>
  <c r="L130" i="6"/>
  <c r="N130" i="40"/>
  <c r="F187" i="6"/>
  <c r="O13" i="25"/>
  <c r="L38" i="41" s="1"/>
  <c r="U13" i="25"/>
  <c r="W13" i="25"/>
  <c r="R13" i="25"/>
  <c r="S13" i="25"/>
  <c r="AF16" i="25" s="1"/>
  <c r="T13" i="25"/>
  <c r="X13" i="25"/>
  <c r="Y13" i="25"/>
  <c r="K59" i="6"/>
  <c r="L13" i="17"/>
  <c r="AE11" i="17" s="1"/>
  <c r="C46" i="38"/>
  <c r="C29" i="41"/>
  <c r="J13" i="33"/>
  <c r="V18" i="23"/>
  <c r="R124" i="40"/>
  <c r="R129" i="40"/>
  <c r="Q126" i="40"/>
  <c r="Q125" i="40"/>
  <c r="E123" i="40"/>
  <c r="I123" i="40"/>
  <c r="H124" i="40"/>
  <c r="L124" i="40"/>
  <c r="P124" i="40"/>
  <c r="E125" i="40"/>
  <c r="I125" i="40"/>
  <c r="M125" i="40"/>
  <c r="J126" i="40"/>
  <c r="N126" i="40"/>
  <c r="G119" i="40"/>
  <c r="O119" i="40"/>
  <c r="E120" i="40"/>
  <c r="I120" i="40"/>
  <c r="M120" i="40"/>
  <c r="H121" i="40"/>
  <c r="L121" i="40"/>
  <c r="P121" i="40"/>
  <c r="G122" i="40"/>
  <c r="O122" i="40"/>
  <c r="J127" i="40"/>
  <c r="H128" i="40"/>
  <c r="L128" i="40"/>
  <c r="P128" i="40"/>
  <c r="G129" i="40"/>
  <c r="O129" i="40"/>
  <c r="J130" i="40"/>
  <c r="F124" i="40"/>
  <c r="F120" i="40"/>
  <c r="F128" i="40"/>
  <c r="E145" i="4"/>
  <c r="AA27" i="14"/>
  <c r="B154" i="4"/>
  <c r="C156" i="4" s="1"/>
  <c r="H3" i="9" s="1"/>
  <c r="C155" i="4"/>
  <c r="B6" i="4"/>
  <c r="F13" i="6"/>
  <c r="Z25" i="21"/>
  <c r="Z15" i="29"/>
  <c r="O27" i="29"/>
  <c r="O118" i="6"/>
  <c r="K230" i="6"/>
  <c r="R253" i="40"/>
  <c r="R252" i="40"/>
  <c r="L252" i="40"/>
  <c r="R174" i="40"/>
  <c r="R176" i="40"/>
  <c r="Q172" i="40"/>
  <c r="Q174" i="40"/>
  <c r="F130" i="40"/>
  <c r="F121" i="40"/>
  <c r="P130" i="40"/>
  <c r="I130" i="40"/>
  <c r="S129" i="40"/>
  <c r="M129" i="40"/>
  <c r="J129" i="40"/>
  <c r="M128" i="40"/>
  <c r="J128" i="40"/>
  <c r="H127" i="40"/>
  <c r="Q122" i="6"/>
  <c r="Q122" i="40" s="1"/>
  <c r="E122" i="40"/>
  <c r="K121" i="40"/>
  <c r="E121" i="40"/>
  <c r="O120" i="40"/>
  <c r="L120" i="40"/>
  <c r="J119" i="40"/>
  <c r="K126" i="40"/>
  <c r="H126" i="40"/>
  <c r="P125" i="40"/>
  <c r="J125" i="40"/>
  <c r="K124" i="40"/>
  <c r="E124" i="40"/>
  <c r="J123" i="40"/>
  <c r="O12" i="25"/>
  <c r="O25" i="33"/>
  <c r="R21" i="22"/>
  <c r="V21" i="22" s="1"/>
  <c r="V25" i="21"/>
  <c r="V28" i="22"/>
  <c r="O13" i="24"/>
  <c r="L37" i="41" s="1"/>
  <c r="S26" i="24"/>
  <c r="S13" i="24" s="1"/>
  <c r="Y26" i="24"/>
  <c r="Y13" i="24" s="1"/>
  <c r="R26" i="24"/>
  <c r="W26" i="24"/>
  <c r="X26" i="24"/>
  <c r="X13" i="24" s="1"/>
  <c r="O22" i="15"/>
  <c r="C22" i="15"/>
  <c r="K129" i="40"/>
  <c r="H21" i="20"/>
  <c r="H13" i="20" s="1"/>
  <c r="AE17" i="20" s="1"/>
  <c r="E219" i="6"/>
  <c r="E214" i="6" s="1"/>
  <c r="AE20" i="27"/>
  <c r="E23" i="41"/>
  <c r="N13" i="26"/>
  <c r="C27" i="29"/>
  <c r="AE23" i="29" s="1"/>
  <c r="AF20" i="25"/>
  <c r="Y13" i="31"/>
  <c r="H75" i="6"/>
  <c r="AF21" i="33"/>
  <c r="H71" i="6"/>
  <c r="O13" i="33"/>
  <c r="S13" i="33"/>
  <c r="U13" i="33"/>
  <c r="Y13" i="33"/>
  <c r="T13" i="33"/>
  <c r="AF17" i="33" s="1"/>
  <c r="C140" i="4"/>
  <c r="C144" i="4"/>
  <c r="C141" i="4"/>
  <c r="C145" i="4"/>
  <c r="C142" i="4"/>
  <c r="C139" i="4"/>
  <c r="Q283" i="40"/>
  <c r="R288" i="40"/>
  <c r="F154" i="6"/>
  <c r="W20" i="9"/>
  <c r="U19" i="21"/>
  <c r="W13" i="29"/>
  <c r="F255" i="6"/>
  <c r="R21" i="23"/>
  <c r="U21" i="23"/>
  <c r="S21" i="23"/>
  <c r="T21" i="23"/>
  <c r="L13" i="29"/>
  <c r="G21" i="20"/>
  <c r="G13" i="20" s="1"/>
  <c r="AE20" i="19"/>
  <c r="O15" i="19"/>
  <c r="K55" i="6"/>
  <c r="K13" i="17"/>
  <c r="J46" i="41"/>
  <c r="C13" i="24"/>
  <c r="AE11" i="24" s="1"/>
  <c r="R76" i="40"/>
  <c r="R78" i="40"/>
  <c r="I75" i="40"/>
  <c r="M75" i="40"/>
  <c r="H76" i="40"/>
  <c r="L76" i="40"/>
  <c r="P76" i="40"/>
  <c r="E77" i="40"/>
  <c r="I77" i="40"/>
  <c r="M77" i="40"/>
  <c r="J78" i="40"/>
  <c r="N78" i="40"/>
  <c r="J71" i="40"/>
  <c r="N71" i="40"/>
  <c r="G72" i="40"/>
  <c r="K72" i="40"/>
  <c r="O72" i="40"/>
  <c r="H73" i="40"/>
  <c r="L73" i="40"/>
  <c r="P73" i="40"/>
  <c r="E74" i="40"/>
  <c r="I74" i="40"/>
  <c r="M74" i="40"/>
  <c r="J79" i="40"/>
  <c r="N79" i="40"/>
  <c r="G80" i="40"/>
  <c r="K80" i="40"/>
  <c r="O80" i="40"/>
  <c r="H81" i="40"/>
  <c r="L81" i="40"/>
  <c r="P81" i="40"/>
  <c r="E82" i="40"/>
  <c r="I82" i="40"/>
  <c r="M82" i="40"/>
  <c r="F72" i="40"/>
  <c r="F80" i="40"/>
  <c r="Q77" i="40"/>
  <c r="C21" i="34"/>
  <c r="C13" i="31"/>
  <c r="E44" i="41" s="1"/>
  <c r="I13" i="31"/>
  <c r="G7" i="4"/>
  <c r="Q63" i="40" s="1"/>
  <c r="AA21" i="17"/>
  <c r="B147" i="4"/>
  <c r="B169" i="4" s="1"/>
  <c r="B170" i="4" s="1"/>
  <c r="R177" i="40"/>
  <c r="R169" i="40"/>
  <c r="R120" i="40"/>
  <c r="AF24" i="19"/>
  <c r="L23" i="41" s="1"/>
  <c r="O27" i="34"/>
  <c r="R17" i="21"/>
  <c r="O17" i="21"/>
  <c r="E9" i="4"/>
  <c r="G9" i="4"/>
  <c r="B30" i="4" s="1"/>
  <c r="E203" i="6"/>
  <c r="C13" i="26"/>
  <c r="AE12" i="26" s="1"/>
  <c r="E199" i="6"/>
  <c r="E55" i="4"/>
  <c r="E54" i="4" s="1"/>
  <c r="Q59" i="6"/>
  <c r="Q59" i="40" s="1"/>
  <c r="Q173" i="40"/>
  <c r="C13" i="30"/>
  <c r="E43" i="41" s="1"/>
  <c r="F43" i="41" s="1"/>
  <c r="G43" i="41" s="1"/>
  <c r="E187" i="6"/>
  <c r="L13" i="25"/>
  <c r="C126" i="4"/>
  <c r="F10" i="4"/>
  <c r="B15" i="4"/>
  <c r="B132" i="4"/>
  <c r="D56" i="4"/>
  <c r="M88" i="6"/>
  <c r="M98" i="6"/>
  <c r="K98" i="6" s="1"/>
  <c r="M92" i="6"/>
  <c r="K92" i="6" s="1"/>
  <c r="M94" i="6"/>
  <c r="M97" i="6"/>
  <c r="M90" i="6"/>
  <c r="K90" i="6" s="1"/>
  <c r="C23" i="18"/>
  <c r="I13" i="18" s="1"/>
  <c r="Q124" i="40"/>
  <c r="R178" i="40"/>
  <c r="R289" i="6"/>
  <c r="R289" i="40" s="1"/>
  <c r="L278" i="6"/>
  <c r="O18" i="31" s="1"/>
  <c r="O13" i="31" s="1"/>
  <c r="L44" i="41" s="1"/>
  <c r="R231" i="40"/>
  <c r="R230" i="40" s="1"/>
  <c r="D38" i="43" s="1"/>
  <c r="R230" i="6"/>
  <c r="K41" i="41" s="1"/>
  <c r="M41" i="41" s="1"/>
  <c r="N41" i="41" s="1"/>
  <c r="L71" i="6"/>
  <c r="L75" i="6"/>
  <c r="L75" i="40" s="1"/>
  <c r="R279" i="40"/>
  <c r="C26" i="21"/>
  <c r="O26" i="21"/>
  <c r="O21" i="20"/>
  <c r="Q76" i="40"/>
  <c r="G91" i="6"/>
  <c r="R173" i="40"/>
  <c r="R168" i="40"/>
  <c r="R280" i="40"/>
  <c r="R55" i="6"/>
  <c r="H107" i="6"/>
  <c r="Q60" i="40"/>
  <c r="Q78" i="40"/>
  <c r="R175" i="40"/>
  <c r="R170" i="40"/>
  <c r="R126" i="40"/>
  <c r="R77" i="40"/>
  <c r="R285" i="40"/>
  <c r="R282" i="40"/>
  <c r="Q189" i="40"/>
  <c r="R205" i="40"/>
  <c r="R172" i="40"/>
  <c r="R125" i="40"/>
  <c r="Q286" i="40"/>
  <c r="R290" i="40"/>
  <c r="R284" i="40"/>
  <c r="Q188" i="40"/>
  <c r="R204" i="40"/>
  <c r="R189" i="40"/>
  <c r="L187" i="40"/>
  <c r="R287" i="40"/>
  <c r="R281" i="40"/>
  <c r="R121" i="40"/>
  <c r="AE16" i="24" l="1"/>
  <c r="N198" i="40"/>
  <c r="I198" i="40"/>
  <c r="Q12" i="32"/>
  <c r="Q279" i="6"/>
  <c r="E278" i="6"/>
  <c r="Q171" i="6"/>
  <c r="G171" i="40"/>
  <c r="G166" i="40" s="1"/>
  <c r="K13" i="25"/>
  <c r="H13" i="25"/>
  <c r="C13" i="25"/>
  <c r="E38" i="41" s="1"/>
  <c r="G13" i="25"/>
  <c r="AE16" i="25" s="1"/>
  <c r="I13" i="25"/>
  <c r="AE20" i="25"/>
  <c r="M13" i="25"/>
  <c r="AE13" i="25" s="1"/>
  <c r="F13" i="25"/>
  <c r="C12" i="25"/>
  <c r="O123" i="40"/>
  <c r="AE11" i="25"/>
  <c r="O70" i="40"/>
  <c r="U13" i="31"/>
  <c r="K198" i="40"/>
  <c r="G198" i="40"/>
  <c r="I262" i="40"/>
  <c r="E32" i="41"/>
  <c r="L96" i="40"/>
  <c r="L198" i="40"/>
  <c r="AF18" i="24"/>
  <c r="AE17" i="31"/>
  <c r="S16" i="32"/>
  <c r="S17" i="32" s="1"/>
  <c r="K246" i="6"/>
  <c r="E23" i="29"/>
  <c r="M108" i="6"/>
  <c r="O36" i="21"/>
  <c r="R128" i="40"/>
  <c r="S130" i="40"/>
  <c r="S125" i="40"/>
  <c r="S126" i="40"/>
  <c r="AE18" i="31"/>
  <c r="O182" i="40"/>
  <c r="L182" i="40"/>
  <c r="I246" i="40"/>
  <c r="L97" i="40"/>
  <c r="AE12" i="24"/>
  <c r="L94" i="40"/>
  <c r="AE23" i="20"/>
  <c r="N124" i="40"/>
  <c r="K125" i="40"/>
  <c r="E126" i="40"/>
  <c r="M126" i="40"/>
  <c r="K120" i="40"/>
  <c r="N121" i="40"/>
  <c r="J122" i="40"/>
  <c r="P122" i="40"/>
  <c r="I127" i="40"/>
  <c r="K128" i="40"/>
  <c r="H129" i="40"/>
  <c r="P129" i="40"/>
  <c r="E130" i="40"/>
  <c r="M130" i="40"/>
  <c r="F125" i="40"/>
  <c r="F129" i="40"/>
  <c r="H123" i="40"/>
  <c r="G124" i="40"/>
  <c r="M124" i="40"/>
  <c r="H125" i="40"/>
  <c r="N125" i="40"/>
  <c r="G126" i="40"/>
  <c r="P126" i="40"/>
  <c r="H119" i="40"/>
  <c r="H120" i="40"/>
  <c r="N120" i="40"/>
  <c r="G121" i="40"/>
  <c r="M121" i="40"/>
  <c r="I122" i="40"/>
  <c r="P127" i="40"/>
  <c r="E128" i="40"/>
  <c r="N128" i="40"/>
  <c r="I129" i="40"/>
  <c r="H130" i="40"/>
  <c r="O130" i="40"/>
  <c r="F126" i="40"/>
  <c r="F123" i="40"/>
  <c r="J124" i="40"/>
  <c r="G125" i="40"/>
  <c r="I126" i="40"/>
  <c r="I119" i="40"/>
  <c r="J120" i="40"/>
  <c r="J121" i="40"/>
  <c r="M122" i="40"/>
  <c r="O127" i="40"/>
  <c r="O128" i="40"/>
  <c r="E129" i="40"/>
  <c r="Q129" i="40"/>
  <c r="Q130" i="40"/>
  <c r="I124" i="40"/>
  <c r="L125" i="40"/>
  <c r="L126" i="40"/>
  <c r="P119" i="40"/>
  <c r="P120" i="40"/>
  <c r="I121" i="40"/>
  <c r="I118" i="40" s="1"/>
  <c r="S121" i="40"/>
  <c r="L129" i="40"/>
  <c r="P123" i="40"/>
  <c r="O124" i="40"/>
  <c r="O118" i="40" s="1"/>
  <c r="O125" i="40"/>
  <c r="O126" i="40"/>
  <c r="O121" i="40"/>
  <c r="H122" i="40"/>
  <c r="E127" i="40"/>
  <c r="G128" i="40"/>
  <c r="N129" i="40"/>
  <c r="G130" i="40"/>
  <c r="F122" i="40"/>
  <c r="N122" i="40"/>
  <c r="I128" i="40"/>
  <c r="F127" i="40"/>
  <c r="AB24" i="20"/>
  <c r="AB28" i="20"/>
  <c r="AB16" i="20"/>
  <c r="F32" i="4"/>
  <c r="G123" i="40"/>
  <c r="G120" i="40"/>
  <c r="S128" i="40"/>
  <c r="AB15" i="20"/>
  <c r="E15" i="20" s="1"/>
  <c r="AB21" i="20"/>
  <c r="E21" i="20" s="1"/>
  <c r="G32" i="4"/>
  <c r="G127" i="40"/>
  <c r="K130" i="40"/>
  <c r="AB25" i="20"/>
  <c r="C32" i="4"/>
  <c r="E32" i="4"/>
  <c r="H86" i="6"/>
  <c r="B32" i="4"/>
  <c r="S124" i="40"/>
  <c r="D32" i="4"/>
  <c r="V13" i="33"/>
  <c r="AF11" i="24"/>
  <c r="AF16" i="24"/>
  <c r="Q65" i="40"/>
  <c r="Q57" i="40"/>
  <c r="G182" i="40"/>
  <c r="I182" i="40"/>
  <c r="H182" i="40"/>
  <c r="N262" i="40"/>
  <c r="R10" i="32"/>
  <c r="AE16" i="31"/>
  <c r="AE13" i="31"/>
  <c r="G246" i="40"/>
  <c r="AF13" i="17"/>
  <c r="S90" i="40"/>
  <c r="S98" i="40"/>
  <c r="R16" i="32"/>
  <c r="R17" i="32" s="1"/>
  <c r="E13" i="33"/>
  <c r="R171" i="6"/>
  <c r="H166" i="6"/>
  <c r="H171" i="40"/>
  <c r="H166" i="40" s="1"/>
  <c r="S127" i="40"/>
  <c r="Q120" i="40"/>
  <c r="D21" i="20"/>
  <c r="G166" i="6"/>
  <c r="R90" i="6"/>
  <c r="R90" i="40" s="1"/>
  <c r="L90" i="40"/>
  <c r="M108" i="40"/>
  <c r="K108" i="6"/>
  <c r="Q90" i="6"/>
  <c r="Q90" i="40" s="1"/>
  <c r="K90" i="40"/>
  <c r="E182" i="40"/>
  <c r="R251" i="6"/>
  <c r="R251" i="40" s="1"/>
  <c r="F251" i="40"/>
  <c r="R278" i="40"/>
  <c r="D41" i="43" s="1"/>
  <c r="M88" i="40"/>
  <c r="Q55" i="6"/>
  <c r="K55" i="40"/>
  <c r="K54" i="6"/>
  <c r="L31" i="41"/>
  <c r="AF12" i="33"/>
  <c r="AF18" i="31"/>
  <c r="Q25" i="33"/>
  <c r="O12" i="33"/>
  <c r="P75" i="6"/>
  <c r="J137" i="5"/>
  <c r="D137" i="5" s="1"/>
  <c r="L247" i="6" s="1"/>
  <c r="Q27" i="29"/>
  <c r="R199" i="6"/>
  <c r="F198" i="6"/>
  <c r="F199" i="40"/>
  <c r="Y13" i="29"/>
  <c r="N14" i="6"/>
  <c r="N222" i="40"/>
  <c r="K88" i="6"/>
  <c r="K13" i="31"/>
  <c r="N18" i="31"/>
  <c r="F13" i="31"/>
  <c r="J18" i="31"/>
  <c r="AF23" i="18"/>
  <c r="D17" i="14"/>
  <c r="P17" i="14"/>
  <c r="M246" i="40"/>
  <c r="S23" i="18"/>
  <c r="Q89" i="6"/>
  <c r="Q89" i="40" s="1"/>
  <c r="K89" i="40"/>
  <c r="AE12" i="33"/>
  <c r="N13" i="33"/>
  <c r="C16" i="23"/>
  <c r="D16" i="21"/>
  <c r="O16" i="21"/>
  <c r="W16" i="21" s="1"/>
  <c r="P235" i="40"/>
  <c r="P230" i="40" s="1"/>
  <c r="S235" i="6"/>
  <c r="P230" i="6"/>
  <c r="M278" i="40"/>
  <c r="G278" i="40"/>
  <c r="R248" i="6"/>
  <c r="R248" i="40" s="1"/>
  <c r="L248" i="40"/>
  <c r="M89" i="40"/>
  <c r="E13" i="17"/>
  <c r="K13" i="29"/>
  <c r="C22" i="27"/>
  <c r="E25" i="29"/>
  <c r="F27" i="14"/>
  <c r="M27" i="14"/>
  <c r="K27" i="14"/>
  <c r="H27" i="14"/>
  <c r="I27" i="14"/>
  <c r="L27" i="14"/>
  <c r="G27" i="14"/>
  <c r="D27" i="14"/>
  <c r="R55" i="40"/>
  <c r="M94" i="40"/>
  <c r="M109" i="6"/>
  <c r="D58" i="4"/>
  <c r="D6" i="4" s="1"/>
  <c r="D57" i="4"/>
  <c r="D5" i="4" s="1"/>
  <c r="G13" i="29"/>
  <c r="D21" i="34"/>
  <c r="M70" i="40"/>
  <c r="F13" i="29"/>
  <c r="L42" i="41"/>
  <c r="AF13" i="33"/>
  <c r="H71" i="40"/>
  <c r="H70" i="6"/>
  <c r="J118" i="40"/>
  <c r="E3" i="9"/>
  <c r="K59" i="40"/>
  <c r="AF15" i="25"/>
  <c r="V13" i="25"/>
  <c r="R13" i="28"/>
  <c r="V15" i="28"/>
  <c r="P262" i="40"/>
  <c r="L222" i="6"/>
  <c r="Q98" i="6"/>
  <c r="Q98" i="40" s="1"/>
  <c r="K98" i="40"/>
  <c r="P16" i="22"/>
  <c r="R97" i="40"/>
  <c r="Z13" i="17"/>
  <c r="P19" i="29"/>
  <c r="Q19" i="29"/>
  <c r="L92" i="40"/>
  <c r="Q92" i="6"/>
  <c r="Q92" i="40" s="1"/>
  <c r="K92" i="40"/>
  <c r="G23" i="18"/>
  <c r="F70" i="40"/>
  <c r="V17" i="16"/>
  <c r="R71" i="6"/>
  <c r="R94" i="40"/>
  <c r="J278" i="40"/>
  <c r="S57" i="40"/>
  <c r="K94" i="6"/>
  <c r="Q13" i="33"/>
  <c r="Q12" i="33"/>
  <c r="Q13" i="17"/>
  <c r="L88" i="40"/>
  <c r="R109" i="6"/>
  <c r="L109" i="40"/>
  <c r="Y21" i="20"/>
  <c r="T21" i="20"/>
  <c r="T13" i="20" s="1"/>
  <c r="X21" i="20"/>
  <c r="AF23" i="20"/>
  <c r="W21" i="20"/>
  <c r="P21" i="20"/>
  <c r="Q21" i="20"/>
  <c r="L70" i="6"/>
  <c r="L71" i="40"/>
  <c r="L70" i="40" s="1"/>
  <c r="AE23" i="18"/>
  <c r="M12" i="6"/>
  <c r="M92" i="40"/>
  <c r="M113" i="6"/>
  <c r="M17" i="6" s="1"/>
  <c r="M105" i="6"/>
  <c r="M9" i="6" s="1"/>
  <c r="AA26" i="14"/>
  <c r="C132" i="4"/>
  <c r="D24" i="9"/>
  <c r="C24" i="9"/>
  <c r="G10" i="4"/>
  <c r="N106" i="40" s="1"/>
  <c r="E10" i="4"/>
  <c r="F31" i="4"/>
  <c r="Q187" i="6"/>
  <c r="E187" i="40"/>
  <c r="E182" i="6"/>
  <c r="E199" i="40"/>
  <c r="E198" i="40" s="1"/>
  <c r="E198" i="6"/>
  <c r="Q199" i="6"/>
  <c r="AA30" i="18"/>
  <c r="AA23" i="18"/>
  <c r="E30" i="4"/>
  <c r="O28" i="19"/>
  <c r="T28" i="19" s="1"/>
  <c r="T13" i="19" s="1"/>
  <c r="AE11" i="26"/>
  <c r="I70" i="40"/>
  <c r="N70" i="40"/>
  <c r="G87" i="40"/>
  <c r="V21" i="23"/>
  <c r="R278" i="6"/>
  <c r="K44" i="41" s="1"/>
  <c r="M44" i="41" s="1"/>
  <c r="N44" i="41" s="1"/>
  <c r="AF18" i="33"/>
  <c r="I29" i="6"/>
  <c r="V26" i="24"/>
  <c r="R13" i="24"/>
  <c r="AE18" i="24"/>
  <c r="R57" i="40"/>
  <c r="H6" i="9"/>
  <c r="O15" i="15"/>
  <c r="I15" i="15"/>
  <c r="G15" i="15"/>
  <c r="C15" i="15"/>
  <c r="G118" i="40"/>
  <c r="C45" i="41"/>
  <c r="E46" i="38"/>
  <c r="AF11" i="25"/>
  <c r="AF12" i="25"/>
  <c r="Z13" i="25"/>
  <c r="AF15" i="26"/>
  <c r="V13" i="26"/>
  <c r="D27" i="21"/>
  <c r="P27" i="21"/>
  <c r="P198" i="40"/>
  <c r="P214" i="6"/>
  <c r="P219" i="40"/>
  <c r="P214" i="40" s="1"/>
  <c r="S219" i="6"/>
  <c r="O262" i="40"/>
  <c r="L262" i="40"/>
  <c r="Y26" i="18"/>
  <c r="N95" i="6" s="1"/>
  <c r="D17" i="29"/>
  <c r="E17" i="29"/>
  <c r="K16" i="14"/>
  <c r="N16" i="14" s="1"/>
  <c r="W16" i="16"/>
  <c r="Z16" i="16" s="1"/>
  <c r="K16" i="16"/>
  <c r="N16" i="16" s="1"/>
  <c r="W16" i="14"/>
  <c r="Z16" i="14" s="1"/>
  <c r="N4" i="9"/>
  <c r="O18" i="14"/>
  <c r="U18" i="14"/>
  <c r="S18" i="14"/>
  <c r="Q25" i="9"/>
  <c r="T18" i="14"/>
  <c r="Q24" i="9"/>
  <c r="Q27" i="9" s="1"/>
  <c r="Q23" i="9"/>
  <c r="W3" i="9"/>
  <c r="P16" i="33"/>
  <c r="D16" i="33"/>
  <c r="P18" i="21"/>
  <c r="Q62" i="40"/>
  <c r="AE11" i="31"/>
  <c r="AF11" i="33"/>
  <c r="E251" i="6"/>
  <c r="E42" i="41"/>
  <c r="AE20" i="29"/>
  <c r="M13" i="29"/>
  <c r="E255" i="6"/>
  <c r="I13" i="29"/>
  <c r="AE18" i="29" s="1"/>
  <c r="E247" i="6"/>
  <c r="H13" i="29"/>
  <c r="E16" i="29"/>
  <c r="D16" i="29"/>
  <c r="F9" i="6"/>
  <c r="D15" i="34"/>
  <c r="E119" i="40"/>
  <c r="E118" i="40" s="1"/>
  <c r="E118" i="6"/>
  <c r="F215" i="40"/>
  <c r="F214" i="6"/>
  <c r="AE13" i="24"/>
  <c r="H198" i="40"/>
  <c r="S246" i="40"/>
  <c r="R92" i="40"/>
  <c r="N89" i="40"/>
  <c r="N9" i="6"/>
  <c r="L106" i="6"/>
  <c r="K75" i="40"/>
  <c r="K70" i="40" s="1"/>
  <c r="K70" i="6"/>
  <c r="S93" i="40"/>
  <c r="M114" i="6"/>
  <c r="W13" i="28"/>
  <c r="Z15" i="28"/>
  <c r="S118" i="6"/>
  <c r="R105" i="40"/>
  <c r="R113" i="40"/>
  <c r="E12" i="33"/>
  <c r="P24" i="21"/>
  <c r="D24" i="21"/>
  <c r="N5" i="9"/>
  <c r="N278" i="40"/>
  <c r="O278" i="40"/>
  <c r="R108" i="40"/>
  <c r="E12" i="5"/>
  <c r="R88" i="40"/>
  <c r="E13" i="25"/>
  <c r="E12" i="25"/>
  <c r="W26" i="18"/>
  <c r="O27" i="14"/>
  <c r="E38" i="43"/>
  <c r="M97" i="40"/>
  <c r="B196" i="4"/>
  <c r="E196" i="4" s="1"/>
  <c r="B36" i="4"/>
  <c r="B194" i="4"/>
  <c r="E194" i="4" s="1"/>
  <c r="Q203" i="6"/>
  <c r="Q203" i="40" s="1"/>
  <c r="E203" i="40"/>
  <c r="O21" i="17"/>
  <c r="C21" i="17"/>
  <c r="R255" i="6"/>
  <c r="R255" i="40" s="1"/>
  <c r="F15" i="6"/>
  <c r="F255" i="40"/>
  <c r="E154" i="6"/>
  <c r="AF13" i="31"/>
  <c r="AA16" i="14"/>
  <c r="AA16" i="16" s="1"/>
  <c r="X13" i="29"/>
  <c r="K13" i="30"/>
  <c r="H13" i="30"/>
  <c r="AE17" i="30" s="1"/>
  <c r="G13" i="30"/>
  <c r="AE16" i="30" s="1"/>
  <c r="L13" i="30"/>
  <c r="AE11" i="30" s="1"/>
  <c r="C12" i="30"/>
  <c r="I13" i="30"/>
  <c r="AE18" i="30" s="1"/>
  <c r="F13" i="30"/>
  <c r="O219" i="40"/>
  <c r="O214" i="40" s="1"/>
  <c r="O214" i="6"/>
  <c r="M13" i="6"/>
  <c r="M93" i="40"/>
  <c r="AA15" i="14"/>
  <c r="AA18" i="14" s="1"/>
  <c r="C16" i="16"/>
  <c r="K96" i="40"/>
  <c r="Q96" i="6"/>
  <c r="Q96" i="40" s="1"/>
  <c r="I16" i="14"/>
  <c r="I16" i="16"/>
  <c r="J16" i="16" s="1"/>
  <c r="R59" i="6"/>
  <c r="R59" i="40" s="1"/>
  <c r="L59" i="40"/>
  <c r="E87" i="40"/>
  <c r="E86" i="6"/>
  <c r="N13" i="28"/>
  <c r="AE12" i="28"/>
  <c r="P246" i="40"/>
  <c r="S13" i="29"/>
  <c r="Q13" i="26"/>
  <c r="Q12" i="26"/>
  <c r="K97" i="6"/>
  <c r="L278" i="40"/>
  <c r="N10" i="6"/>
  <c r="N90" i="40"/>
  <c r="N98" i="40"/>
  <c r="R110" i="40"/>
  <c r="Q13" i="24"/>
  <c r="Q12" i="24"/>
  <c r="O22" i="27"/>
  <c r="K109" i="6"/>
  <c r="W36" i="21"/>
  <c r="Y36" i="21"/>
  <c r="X36" i="21"/>
  <c r="S36" i="21"/>
  <c r="R36" i="21"/>
  <c r="T36" i="21"/>
  <c r="U36" i="21"/>
  <c r="P36" i="21"/>
  <c r="H107" i="40"/>
  <c r="H102" i="6"/>
  <c r="AF23" i="31"/>
  <c r="X18" i="31"/>
  <c r="X13" i="31" s="1"/>
  <c r="AF11" i="31" s="1"/>
  <c r="S18" i="31"/>
  <c r="S13" i="31" s="1"/>
  <c r="AF16" i="31" s="1"/>
  <c r="W18" i="31"/>
  <c r="R18" i="31"/>
  <c r="Q18" i="31"/>
  <c r="O12" i="31"/>
  <c r="P18" i="31"/>
  <c r="E91" i="40"/>
  <c r="I91" i="40"/>
  <c r="H92" i="40"/>
  <c r="P92" i="40"/>
  <c r="E93" i="40"/>
  <c r="I93" i="40"/>
  <c r="J94" i="40"/>
  <c r="N94" i="40"/>
  <c r="O87" i="40"/>
  <c r="H88" i="40"/>
  <c r="P88" i="40"/>
  <c r="J89" i="40"/>
  <c r="H90" i="40"/>
  <c r="P90" i="40"/>
  <c r="J95" i="40"/>
  <c r="G96" i="40"/>
  <c r="O96" i="40"/>
  <c r="E97" i="40"/>
  <c r="I97" i="40"/>
  <c r="G98" i="40"/>
  <c r="O98" i="40"/>
  <c r="F92" i="40"/>
  <c r="F88" i="40"/>
  <c r="F96" i="40"/>
  <c r="J91" i="40"/>
  <c r="E92" i="40"/>
  <c r="J93" i="40"/>
  <c r="P93" i="40"/>
  <c r="H94" i="40"/>
  <c r="J87" i="40"/>
  <c r="E88" i="40"/>
  <c r="G89" i="40"/>
  <c r="I90" i="40"/>
  <c r="O90" i="40"/>
  <c r="H95" i="40"/>
  <c r="J96" i="40"/>
  <c r="O97" i="40"/>
  <c r="E98" i="40"/>
  <c r="F94" i="40"/>
  <c r="F95" i="40"/>
  <c r="G92" i="40"/>
  <c r="H93" i="40"/>
  <c r="N93" i="40"/>
  <c r="G94" i="40"/>
  <c r="P94" i="40"/>
  <c r="G88" i="40"/>
  <c r="H89" i="40"/>
  <c r="P89" i="40"/>
  <c r="G90" i="40"/>
  <c r="G95" i="40"/>
  <c r="P95" i="40"/>
  <c r="E96" i="40"/>
  <c r="N96" i="40"/>
  <c r="H97" i="40"/>
  <c r="N97" i="40"/>
  <c r="S97" i="40"/>
  <c r="F90" i="40"/>
  <c r="AB15" i="18"/>
  <c r="H91" i="40"/>
  <c r="J92" i="40"/>
  <c r="O92" i="40"/>
  <c r="G93" i="40"/>
  <c r="O93" i="40"/>
  <c r="I94" i="40"/>
  <c r="O94" i="40"/>
  <c r="H87" i="40"/>
  <c r="P87" i="40"/>
  <c r="J88" i="40"/>
  <c r="O88" i="40"/>
  <c r="I89" i="40"/>
  <c r="O89" i="40"/>
  <c r="J90" i="40"/>
  <c r="I95" i="40"/>
  <c r="O95" i="40"/>
  <c r="H96" i="40"/>
  <c r="P96" i="40"/>
  <c r="G97" i="40"/>
  <c r="P97" i="40"/>
  <c r="H98" i="40"/>
  <c r="F93" i="40"/>
  <c r="F97" i="40"/>
  <c r="I92" i="40"/>
  <c r="I87" i="40"/>
  <c r="I88" i="40"/>
  <c r="I96" i="40"/>
  <c r="J97" i="40"/>
  <c r="J98" i="40"/>
  <c r="AB26" i="18"/>
  <c r="AB30" i="18"/>
  <c r="AB27" i="18"/>
  <c r="E27" i="18" s="1"/>
  <c r="F30" i="4"/>
  <c r="AB23" i="18"/>
  <c r="Q23" i="18" s="1"/>
  <c r="G30" i="4"/>
  <c r="F98" i="40"/>
  <c r="C30" i="4"/>
  <c r="S92" i="40"/>
  <c r="S94" i="40"/>
  <c r="E89" i="40"/>
  <c r="E95" i="40"/>
  <c r="F91" i="40"/>
  <c r="N92" i="40"/>
  <c r="N88" i="40"/>
  <c r="I98" i="40"/>
  <c r="F89" i="40"/>
  <c r="AB20" i="18"/>
  <c r="P98" i="40"/>
  <c r="E94" i="40"/>
  <c r="S87" i="40"/>
  <c r="E90" i="40"/>
  <c r="S95" i="40"/>
  <c r="R23" i="21"/>
  <c r="V23" i="21" s="1"/>
  <c r="V17" i="21"/>
  <c r="R75" i="6"/>
  <c r="R75" i="40" s="1"/>
  <c r="R61" i="40"/>
  <c r="R62" i="40"/>
  <c r="R60" i="40"/>
  <c r="J59" i="40"/>
  <c r="N59" i="40"/>
  <c r="E60" i="40"/>
  <c r="I60" i="40"/>
  <c r="M60" i="40"/>
  <c r="J61" i="40"/>
  <c r="N61" i="40"/>
  <c r="G62" i="40"/>
  <c r="K62" i="40"/>
  <c r="O62" i="40"/>
  <c r="H55" i="40"/>
  <c r="P55" i="40"/>
  <c r="J56" i="40"/>
  <c r="N56" i="40"/>
  <c r="G57" i="40"/>
  <c r="K57" i="40"/>
  <c r="O57" i="40"/>
  <c r="H58" i="40"/>
  <c r="L58" i="40"/>
  <c r="P58" i="40"/>
  <c r="E63" i="40"/>
  <c r="I63" i="40"/>
  <c r="M63" i="40"/>
  <c r="J64" i="40"/>
  <c r="N64" i="40"/>
  <c r="G65" i="40"/>
  <c r="K65" i="40"/>
  <c r="O65" i="40"/>
  <c r="H66" i="40"/>
  <c r="L66" i="40"/>
  <c r="P66" i="40"/>
  <c r="F60" i="40"/>
  <c r="F56" i="40"/>
  <c r="F64" i="40"/>
  <c r="Q61" i="40"/>
  <c r="F7" i="4"/>
  <c r="E59" i="40"/>
  <c r="H60" i="40"/>
  <c r="K60" i="40"/>
  <c r="I61" i="40"/>
  <c r="P61" i="40"/>
  <c r="E62" i="40"/>
  <c r="L62" i="40"/>
  <c r="J55" i="40"/>
  <c r="M55" i="40"/>
  <c r="E56" i="40"/>
  <c r="L56" i="40"/>
  <c r="O56" i="40"/>
  <c r="H57" i="40"/>
  <c r="N57" i="40"/>
  <c r="E58" i="40"/>
  <c r="K58" i="40"/>
  <c r="J63" i="40"/>
  <c r="P63" i="40"/>
  <c r="G64" i="40"/>
  <c r="M64" i="40"/>
  <c r="R64" i="40"/>
  <c r="S64" i="40"/>
  <c r="I65" i="40"/>
  <c r="P65" i="40"/>
  <c r="J66" i="40"/>
  <c r="M66" i="40"/>
  <c r="F61" i="40"/>
  <c r="F58" i="40"/>
  <c r="F59" i="40"/>
  <c r="I59" i="40"/>
  <c r="J60" i="40"/>
  <c r="O60" i="40"/>
  <c r="G61" i="40"/>
  <c r="O61" i="40"/>
  <c r="J62" i="40"/>
  <c r="P62" i="40"/>
  <c r="G55" i="40"/>
  <c r="O55" i="40"/>
  <c r="G56" i="40"/>
  <c r="P56" i="40"/>
  <c r="I57" i="40"/>
  <c r="G58" i="40"/>
  <c r="M58" i="40"/>
  <c r="H63" i="40"/>
  <c r="N63" i="40"/>
  <c r="L64" i="40"/>
  <c r="E65" i="40"/>
  <c r="N65" i="40"/>
  <c r="G66" i="40"/>
  <c r="O66" i="40"/>
  <c r="Q66" i="40"/>
  <c r="F55" i="40"/>
  <c r="F66" i="40"/>
  <c r="B29" i="4"/>
  <c r="L60" i="40"/>
  <c r="L61" i="40"/>
  <c r="I62" i="40"/>
  <c r="I55" i="40"/>
  <c r="I56" i="40"/>
  <c r="S56" i="40"/>
  <c r="L57" i="40"/>
  <c r="J58" i="40"/>
  <c r="O58" i="40"/>
  <c r="Q58" i="40"/>
  <c r="G63" i="40"/>
  <c r="O63" i="40"/>
  <c r="E64" i="40"/>
  <c r="K64" i="40"/>
  <c r="H65" i="40"/>
  <c r="M65" i="40"/>
  <c r="I66" i="40"/>
  <c r="F57" i="40"/>
  <c r="M59" i="40"/>
  <c r="N60" i="40"/>
  <c r="H61" i="40"/>
  <c r="S61" i="40"/>
  <c r="N55" i="40"/>
  <c r="M56" i="40"/>
  <c r="P57" i="40"/>
  <c r="R58" i="40"/>
  <c r="L63" i="40"/>
  <c r="O64" i="40"/>
  <c r="E66" i="40"/>
  <c r="R66" i="40"/>
  <c r="F62" i="40"/>
  <c r="G29" i="4"/>
  <c r="C29" i="4"/>
  <c r="H59" i="40"/>
  <c r="M61" i="40"/>
  <c r="E55" i="40"/>
  <c r="R56" i="40"/>
  <c r="N58" i="40"/>
  <c r="I64" i="40"/>
  <c r="L65" i="40"/>
  <c r="N66" i="40"/>
  <c r="F65" i="40"/>
  <c r="G60" i="40"/>
  <c r="M62" i="40"/>
  <c r="K56" i="40"/>
  <c r="M57" i="40"/>
  <c r="S58" i="40"/>
  <c r="P60" i="40"/>
  <c r="K61" i="40"/>
  <c r="H62" i="40"/>
  <c r="S62" i="40"/>
  <c r="E57" i="40"/>
  <c r="I58" i="40"/>
  <c r="K63" i="40"/>
  <c r="H64" i="40"/>
  <c r="J65" i="40"/>
  <c r="K66" i="40"/>
  <c r="F63" i="40"/>
  <c r="N62" i="40"/>
  <c r="H56" i="40"/>
  <c r="J57" i="40"/>
  <c r="D29" i="4"/>
  <c r="G59" i="40"/>
  <c r="E61" i="40"/>
  <c r="P64" i="40"/>
  <c r="Q64" i="40"/>
  <c r="S65" i="40"/>
  <c r="S66" i="40"/>
  <c r="E29" i="4"/>
  <c r="L33" i="41"/>
  <c r="AF20" i="19"/>
  <c r="F103" i="6"/>
  <c r="U13" i="19"/>
  <c r="AF18" i="19" s="1"/>
  <c r="U17" i="23"/>
  <c r="V19" i="21"/>
  <c r="S60" i="40"/>
  <c r="W13" i="24"/>
  <c r="Z26" i="24"/>
  <c r="E49" i="4"/>
  <c r="H118" i="40"/>
  <c r="C46" i="41"/>
  <c r="AF13" i="25"/>
  <c r="R187" i="6"/>
  <c r="F182" i="6"/>
  <c r="F187" i="40"/>
  <c r="F182" i="40" s="1"/>
  <c r="L39" i="41"/>
  <c r="AF13" i="26"/>
  <c r="AF16" i="26"/>
  <c r="AF17" i="26"/>
  <c r="AF18" i="26"/>
  <c r="R203" i="6"/>
  <c r="R203" i="40" s="1"/>
  <c r="F203" i="40"/>
  <c r="R13" i="29"/>
  <c r="O13" i="30"/>
  <c r="L43" i="41" s="1"/>
  <c r="M43" i="41" s="1"/>
  <c r="N43" i="41" s="1"/>
  <c r="U13" i="30"/>
  <c r="AF18" i="30" s="1"/>
  <c r="Y13" i="30"/>
  <c r="R13" i="30"/>
  <c r="W13" i="30"/>
  <c r="O12" i="30"/>
  <c r="S13" i="30"/>
  <c r="X13" i="30"/>
  <c r="T13" i="30"/>
  <c r="AF17" i="30" s="1"/>
  <c r="J198" i="40"/>
  <c r="K93" i="6"/>
  <c r="P17" i="29"/>
  <c r="Q17" i="29"/>
  <c r="Q12" i="29" s="1"/>
  <c r="AF20" i="29"/>
  <c r="B4" i="4"/>
  <c r="T13" i="29"/>
  <c r="F8" i="6"/>
  <c r="L55" i="40"/>
  <c r="L54" i="6"/>
  <c r="AE18" i="18"/>
  <c r="S13" i="20"/>
  <c r="L34" i="41"/>
  <c r="U13" i="20"/>
  <c r="AF20" i="20"/>
  <c r="F119" i="6"/>
  <c r="Q15" i="20"/>
  <c r="R63" i="40"/>
  <c r="E12" i="26"/>
  <c r="E13" i="26"/>
  <c r="R65" i="40"/>
  <c r="E15" i="31"/>
  <c r="Q15" i="31"/>
  <c r="E278" i="40"/>
  <c r="F278" i="40"/>
  <c r="Q248" i="6"/>
  <c r="Q248" i="40" s="1"/>
  <c r="K248" i="40"/>
  <c r="K246" i="40" s="1"/>
  <c r="M106" i="6"/>
  <c r="M10" i="6" s="1"/>
  <c r="D30" i="4"/>
  <c r="L98" i="6"/>
  <c r="P278" i="40"/>
  <c r="Q12" i="25"/>
  <c r="Q13" i="25"/>
  <c r="W31" i="19"/>
  <c r="G86" i="6"/>
  <c r="G91" i="40"/>
  <c r="M90" i="40"/>
  <c r="M18" i="6"/>
  <c r="M98" i="40"/>
  <c r="M104" i="6"/>
  <c r="M110" i="6"/>
  <c r="M14" i="6" s="1"/>
  <c r="M13" i="30"/>
  <c r="AE13" i="30" s="1"/>
  <c r="E39" i="41"/>
  <c r="AE16" i="26"/>
  <c r="AE13" i="26"/>
  <c r="AE15" i="26"/>
  <c r="AE17" i="26"/>
  <c r="AE18" i="26"/>
  <c r="P17" i="21"/>
  <c r="P27" i="34"/>
  <c r="C150" i="4"/>
  <c r="E70" i="40"/>
  <c r="J70" i="40"/>
  <c r="E37" i="41"/>
  <c r="AE17" i="24"/>
  <c r="AE15" i="24"/>
  <c r="AE12" i="17"/>
  <c r="N13" i="17"/>
  <c r="AE16" i="20"/>
  <c r="U13" i="29"/>
  <c r="AF23" i="29"/>
  <c r="F138" i="6"/>
  <c r="AF16" i="33"/>
  <c r="H75" i="40"/>
  <c r="E219" i="40"/>
  <c r="E214" i="40" s="1"/>
  <c r="J29" i="6"/>
  <c r="AF13" i="24"/>
  <c r="T13" i="31"/>
  <c r="AF17" i="31" s="1"/>
  <c r="J13" i="24"/>
  <c r="S63" i="40"/>
  <c r="P118" i="40"/>
  <c r="AF17" i="25"/>
  <c r="AF18" i="25"/>
  <c r="R130" i="6"/>
  <c r="R130" i="40" s="1"/>
  <c r="L130" i="40"/>
  <c r="Z13" i="33"/>
  <c r="AF12" i="26"/>
  <c r="Z13" i="26"/>
  <c r="N114" i="6"/>
  <c r="L93" i="40"/>
  <c r="J182" i="40"/>
  <c r="P182" i="40"/>
  <c r="H246" i="40"/>
  <c r="K262" i="40"/>
  <c r="H262" i="40"/>
  <c r="O16" i="16"/>
  <c r="L16" i="21"/>
  <c r="L16" i="23" s="1"/>
  <c r="M96" i="40"/>
  <c r="F247" i="6"/>
  <c r="K16" i="21"/>
  <c r="C153" i="4"/>
  <c r="E103" i="40"/>
  <c r="E102" i="6"/>
  <c r="S89" i="40"/>
  <c r="O246" i="40"/>
  <c r="X26" i="18"/>
  <c r="N91" i="6" s="1"/>
  <c r="D12" i="5"/>
  <c r="N226" i="6"/>
  <c r="S96" i="40"/>
  <c r="L30" i="41"/>
  <c r="AF12" i="17"/>
  <c r="F87" i="6"/>
  <c r="U13" i="18"/>
  <c r="AF18" i="18" s="1"/>
  <c r="AF20" i="18"/>
  <c r="L32" i="41"/>
  <c r="O15" i="34"/>
  <c r="AE18" i="20"/>
  <c r="F219" i="40"/>
  <c r="S55" i="40"/>
  <c r="M198" i="40"/>
  <c r="J246" i="40"/>
  <c r="R93" i="40"/>
  <c r="L89" i="6"/>
  <c r="R96" i="40"/>
  <c r="E16" i="15"/>
  <c r="D16" i="15"/>
  <c r="G70" i="6"/>
  <c r="G71" i="40"/>
  <c r="G70" i="40" s="1"/>
  <c r="Q71" i="6"/>
  <c r="AF11" i="17"/>
  <c r="S88" i="40"/>
  <c r="M16" i="21"/>
  <c r="M16" i="23" s="1"/>
  <c r="K17" i="9"/>
  <c r="K19" i="9"/>
  <c r="AF15" i="33"/>
  <c r="Q56" i="40"/>
  <c r="S118" i="40"/>
  <c r="AF17" i="24"/>
  <c r="M112" i="6"/>
  <c r="I278" i="40"/>
  <c r="J16" i="14"/>
  <c r="H278" i="40"/>
  <c r="S278" i="40"/>
  <c r="K278" i="40"/>
  <c r="Z24" i="29"/>
  <c r="C28" i="19"/>
  <c r="C24" i="34" s="1"/>
  <c r="I13" i="34" s="1"/>
  <c r="C36" i="21"/>
  <c r="AE16" i="29" l="1"/>
  <c r="AE11" i="29"/>
  <c r="X16" i="21"/>
  <c r="X16" i="23" s="1"/>
  <c r="I54" i="40"/>
  <c r="H86" i="40"/>
  <c r="AF16" i="29"/>
  <c r="D16" i="14"/>
  <c r="O24" i="34"/>
  <c r="R166" i="6"/>
  <c r="K37" i="41" s="1"/>
  <c r="M37" i="41" s="1"/>
  <c r="N37" i="41" s="1"/>
  <c r="R171" i="40"/>
  <c r="R166" i="40" s="1"/>
  <c r="D34" i="43" s="1"/>
  <c r="Q16" i="20"/>
  <c r="E16" i="20"/>
  <c r="Q171" i="40"/>
  <c r="Q166" i="40" s="1"/>
  <c r="C34" i="43" s="1"/>
  <c r="Q166" i="6"/>
  <c r="D37" i="41" s="1"/>
  <c r="F37" i="41" s="1"/>
  <c r="G37" i="41" s="1"/>
  <c r="AF17" i="29"/>
  <c r="Q13" i="29"/>
  <c r="AE17" i="29"/>
  <c r="E13" i="29"/>
  <c r="AF17" i="19"/>
  <c r="E28" i="20"/>
  <c r="Q28" i="20"/>
  <c r="AE17" i="25"/>
  <c r="AE15" i="25"/>
  <c r="J13" i="25"/>
  <c r="P16" i="14"/>
  <c r="AF18" i="20"/>
  <c r="AF11" i="29"/>
  <c r="AE13" i="29"/>
  <c r="E23" i="18"/>
  <c r="E24" i="20"/>
  <c r="Q24" i="20"/>
  <c r="AE18" i="25"/>
  <c r="AE12" i="25"/>
  <c r="N13" i="25"/>
  <c r="Q278" i="6"/>
  <c r="D44" i="41" s="1"/>
  <c r="F44" i="41" s="1"/>
  <c r="G44" i="41" s="1"/>
  <c r="Q279" i="40"/>
  <c r="Q278" i="40" s="1"/>
  <c r="C41" i="43" s="1"/>
  <c r="H16" i="21"/>
  <c r="H16" i="23" s="1"/>
  <c r="Q70" i="6"/>
  <c r="D31" i="41" s="1"/>
  <c r="F31" i="41" s="1"/>
  <c r="G31" i="41" s="1"/>
  <c r="Q71" i="40"/>
  <c r="Q70" i="40" s="1"/>
  <c r="C28" i="43" s="1"/>
  <c r="O23" i="23"/>
  <c r="L152" i="6"/>
  <c r="L155" i="6"/>
  <c r="L160" i="6"/>
  <c r="K158" i="6"/>
  <c r="L151" i="6"/>
  <c r="L154" i="6"/>
  <c r="L158" i="6"/>
  <c r="K157" i="6"/>
  <c r="L153" i="6"/>
  <c r="L159" i="6"/>
  <c r="L161" i="6"/>
  <c r="C23" i="23"/>
  <c r="L157" i="6"/>
  <c r="L162" i="6"/>
  <c r="K156" i="6"/>
  <c r="K159" i="6"/>
  <c r="K160" i="6"/>
  <c r="K161" i="6"/>
  <c r="K162" i="6"/>
  <c r="O24" i="23"/>
  <c r="O30" i="23"/>
  <c r="C15" i="23"/>
  <c r="C27" i="23"/>
  <c r="C33" i="23"/>
  <c r="L156" i="6"/>
  <c r="O27" i="23"/>
  <c r="O33" i="23"/>
  <c r="C21" i="23"/>
  <c r="C28" i="23"/>
  <c r="O28" i="23"/>
  <c r="C24" i="23"/>
  <c r="K155" i="6"/>
  <c r="K152" i="6"/>
  <c r="K154" i="6"/>
  <c r="O29" i="23"/>
  <c r="C29" i="23"/>
  <c r="O22" i="23"/>
  <c r="K153" i="6"/>
  <c r="G67" i="4"/>
  <c r="G13" i="4" s="1"/>
  <c r="C36" i="23"/>
  <c r="E18" i="9"/>
  <c r="H18" i="9" s="1"/>
  <c r="AA28" i="23"/>
  <c r="AA33" i="23"/>
  <c r="AA21" i="23"/>
  <c r="D67" i="4"/>
  <c r="D13" i="4" s="1"/>
  <c r="K151" i="6"/>
  <c r="O36" i="23"/>
  <c r="AA24" i="23"/>
  <c r="AA36" i="23"/>
  <c r="C22" i="23"/>
  <c r="C67" i="4"/>
  <c r="C13" i="4" s="1"/>
  <c r="AA29" i="23"/>
  <c r="AA30" i="23"/>
  <c r="AA22" i="23"/>
  <c r="AA15" i="23"/>
  <c r="O21" i="23"/>
  <c r="AA23" i="23"/>
  <c r="AA27" i="23"/>
  <c r="E67" i="4"/>
  <c r="E13" i="4" s="1"/>
  <c r="F67" i="4"/>
  <c r="F13" i="4" s="1"/>
  <c r="E19" i="9"/>
  <c r="E13" i="9"/>
  <c r="H13" i="9" s="1"/>
  <c r="R98" i="6"/>
  <c r="R98" i="40" s="1"/>
  <c r="L98" i="40"/>
  <c r="E12" i="31"/>
  <c r="E13" i="31"/>
  <c r="F102" i="6"/>
  <c r="F103" i="40"/>
  <c r="E15" i="18"/>
  <c r="W25" i="27"/>
  <c r="T22" i="27"/>
  <c r="T13" i="27" s="1"/>
  <c r="Y25" i="27"/>
  <c r="AF23" i="27"/>
  <c r="X25" i="27"/>
  <c r="P22" i="27"/>
  <c r="S22" i="27"/>
  <c r="S13" i="27" s="1"/>
  <c r="Q22" i="27"/>
  <c r="L40" i="41"/>
  <c r="R22" i="27"/>
  <c r="U13" i="27"/>
  <c r="AF18" i="27" s="1"/>
  <c r="O59" i="6"/>
  <c r="E21" i="17"/>
  <c r="E12" i="17" s="1"/>
  <c r="C12" i="17"/>
  <c r="Z26" i="18"/>
  <c r="N87" i="6"/>
  <c r="X17" i="14"/>
  <c r="X16" i="15" s="1"/>
  <c r="L17" i="14"/>
  <c r="L16" i="15" s="1"/>
  <c r="E15" i="6"/>
  <c r="E255" i="40"/>
  <c r="Q255" i="6"/>
  <c r="Q255" i="40" s="1"/>
  <c r="L24" i="20"/>
  <c r="M123" i="6" s="1"/>
  <c r="X24" i="20"/>
  <c r="N123" i="6" s="1"/>
  <c r="AA15" i="16"/>
  <c r="J27" i="14"/>
  <c r="F26" i="15"/>
  <c r="F25" i="16"/>
  <c r="P75" i="40"/>
  <c r="P70" i="40" s="1"/>
  <c r="S75" i="6"/>
  <c r="P70" i="6"/>
  <c r="Q108" i="6"/>
  <c r="Q108" i="40" s="1"/>
  <c r="K108" i="40"/>
  <c r="F16" i="21"/>
  <c r="R16" i="21"/>
  <c r="U13" i="34"/>
  <c r="P15" i="34"/>
  <c r="F87" i="40"/>
  <c r="F86" i="40" s="1"/>
  <c r="F86" i="6"/>
  <c r="O22" i="22"/>
  <c r="L136" i="6"/>
  <c r="L139" i="6"/>
  <c r="L139" i="40" s="1"/>
  <c r="L144" i="6"/>
  <c r="K139" i="6"/>
  <c r="L146" i="6"/>
  <c r="L137" i="6"/>
  <c r="L141" i="6"/>
  <c r="C22" i="22"/>
  <c r="K141" i="6"/>
  <c r="K140" i="6"/>
  <c r="L140" i="6"/>
  <c r="K135" i="6"/>
  <c r="O26" i="22"/>
  <c r="O32" i="22"/>
  <c r="C27" i="22"/>
  <c r="L135" i="6"/>
  <c r="L145" i="6"/>
  <c r="K142" i="6"/>
  <c r="K136" i="6"/>
  <c r="K137" i="6"/>
  <c r="K138" i="6"/>
  <c r="K138" i="40" s="1"/>
  <c r="O19" i="22"/>
  <c r="O27" i="22"/>
  <c r="C21" i="22"/>
  <c r="C19" i="22"/>
  <c r="C28" i="22"/>
  <c r="C26" i="22"/>
  <c r="L143" i="6"/>
  <c r="K143" i="6"/>
  <c r="K145" i="6"/>
  <c r="O28" i="22"/>
  <c r="C33" i="21"/>
  <c r="C29" i="22" s="1"/>
  <c r="H20" i="9"/>
  <c r="I15" i="22" s="1"/>
  <c r="O29" i="22"/>
  <c r="C15" i="22"/>
  <c r="L138" i="6"/>
  <c r="K144" i="6"/>
  <c r="O23" i="22"/>
  <c r="C30" i="23"/>
  <c r="L142" i="6"/>
  <c r="C23" i="22"/>
  <c r="C32" i="22"/>
  <c r="K146" i="6"/>
  <c r="O21" i="22"/>
  <c r="AA23" i="22"/>
  <c r="AA29" i="22"/>
  <c r="D66" i="4"/>
  <c r="D12" i="4" s="1"/>
  <c r="G66" i="4"/>
  <c r="G12" i="4" s="1"/>
  <c r="C35" i="22"/>
  <c r="AA20" i="22"/>
  <c r="AA27" i="22"/>
  <c r="AA19" i="22"/>
  <c r="AA21" i="22"/>
  <c r="AA22" i="22"/>
  <c r="E66" i="4"/>
  <c r="E12" i="4" s="1"/>
  <c r="E33" i="4" s="1"/>
  <c r="O35" i="22"/>
  <c r="AA28" i="22"/>
  <c r="AA32" i="22"/>
  <c r="C66" i="4"/>
  <c r="C12" i="4" s="1"/>
  <c r="F66" i="4"/>
  <c r="F12" i="4" s="1"/>
  <c r="F33" i="4" s="1"/>
  <c r="AA26" i="22"/>
  <c r="AA15" i="22"/>
  <c r="AA35" i="22"/>
  <c r="M104" i="40"/>
  <c r="K104" i="6"/>
  <c r="N103" i="6"/>
  <c r="L54" i="40"/>
  <c r="AA25" i="16"/>
  <c r="E48" i="4"/>
  <c r="M54" i="40"/>
  <c r="Q20" i="18"/>
  <c r="E20" i="18"/>
  <c r="T32" i="22"/>
  <c r="T33" i="23"/>
  <c r="Y32" i="22"/>
  <c r="Y33" i="23"/>
  <c r="E86" i="40"/>
  <c r="AE15" i="30"/>
  <c r="J13" i="30"/>
  <c r="V18" i="14"/>
  <c r="P18" i="14"/>
  <c r="S219" i="40"/>
  <c r="S214" i="40" s="1"/>
  <c r="S214" i="6"/>
  <c r="AF17" i="20"/>
  <c r="Q94" i="6"/>
  <c r="Q94" i="40" s="1"/>
  <c r="K94" i="40"/>
  <c r="E6" i="4"/>
  <c r="K25" i="16"/>
  <c r="K26" i="15"/>
  <c r="N27" i="14"/>
  <c r="P23" i="18"/>
  <c r="R198" i="6"/>
  <c r="K39" i="41" s="1"/>
  <c r="M39" i="41" s="1"/>
  <c r="N39" i="41" s="1"/>
  <c r="R199" i="40"/>
  <c r="R198" i="40" s="1"/>
  <c r="D36" i="43" s="1"/>
  <c r="M8" i="6"/>
  <c r="AE23" i="19"/>
  <c r="I13" i="19"/>
  <c r="E33" i="41"/>
  <c r="M112" i="40"/>
  <c r="K112" i="6"/>
  <c r="K16" i="23"/>
  <c r="N16" i="23" s="1"/>
  <c r="N16" i="21"/>
  <c r="M106" i="40"/>
  <c r="K106" i="6"/>
  <c r="F118" i="6"/>
  <c r="F119" i="40"/>
  <c r="F118" i="40" s="1"/>
  <c r="AF16" i="20"/>
  <c r="AF11" i="30"/>
  <c r="V13" i="30"/>
  <c r="AF15" i="30"/>
  <c r="V13" i="29"/>
  <c r="AF15" i="29"/>
  <c r="F54" i="40"/>
  <c r="J54" i="40"/>
  <c r="F29" i="4"/>
  <c r="B192" i="4"/>
  <c r="E26" i="18"/>
  <c r="Q26" i="18"/>
  <c r="W13" i="31"/>
  <c r="Z18" i="31"/>
  <c r="R33" i="23"/>
  <c r="R32" i="22"/>
  <c r="V36" i="21"/>
  <c r="Z36" i="21"/>
  <c r="W33" i="23"/>
  <c r="W32" i="22"/>
  <c r="Z32" i="22" s="1"/>
  <c r="Q97" i="6"/>
  <c r="Q97" i="40" s="1"/>
  <c r="K97" i="40"/>
  <c r="D16" i="16"/>
  <c r="M114" i="40"/>
  <c r="K114" i="6"/>
  <c r="E246" i="6"/>
  <c r="E247" i="40"/>
  <c r="Q247" i="6"/>
  <c r="W17" i="14"/>
  <c r="K17" i="14"/>
  <c r="N95" i="40"/>
  <c r="L95" i="6"/>
  <c r="P15" i="15"/>
  <c r="V13" i="24"/>
  <c r="AF15" i="24"/>
  <c r="C30" i="18"/>
  <c r="O30" i="18"/>
  <c r="AA35" i="19"/>
  <c r="E31" i="4"/>
  <c r="AA28" i="19"/>
  <c r="AA24" i="34" s="1"/>
  <c r="C26" i="14"/>
  <c r="D27" i="9"/>
  <c r="G27" i="9"/>
  <c r="F27" i="9" s="1"/>
  <c r="G25" i="9"/>
  <c r="F25" i="9" s="1"/>
  <c r="I24" i="9"/>
  <c r="H24" i="9" s="1"/>
  <c r="D25" i="9"/>
  <c r="K21" i="5" s="1"/>
  <c r="E21" i="5" s="1"/>
  <c r="E7" i="5" s="1"/>
  <c r="D29" i="9"/>
  <c r="K25" i="5" s="1"/>
  <c r="E25" i="5" s="1"/>
  <c r="E11" i="5" s="1"/>
  <c r="M113" i="40"/>
  <c r="K113" i="6"/>
  <c r="W13" i="20"/>
  <c r="K24" i="20"/>
  <c r="Z21" i="20"/>
  <c r="W24" i="20"/>
  <c r="M24" i="20"/>
  <c r="M127" i="6" s="1"/>
  <c r="Y13" i="20"/>
  <c r="AF13" i="20" s="1"/>
  <c r="Y24" i="20"/>
  <c r="N127" i="6" s="1"/>
  <c r="R112" i="40"/>
  <c r="AA17" i="16"/>
  <c r="P17" i="16" s="1"/>
  <c r="H70" i="40"/>
  <c r="AE15" i="29"/>
  <c r="J13" i="29"/>
  <c r="AA20" i="16"/>
  <c r="R54" i="6"/>
  <c r="K30" i="41" s="1"/>
  <c r="M30" i="41" s="1"/>
  <c r="N30" i="41" s="1"/>
  <c r="L25" i="16"/>
  <c r="L26" i="15"/>
  <c r="M26" i="15"/>
  <c r="M25" i="16"/>
  <c r="H22" i="27"/>
  <c r="H13" i="27" s="1"/>
  <c r="G22" i="27"/>
  <c r="G13" i="27" s="1"/>
  <c r="F22" i="27"/>
  <c r="D22" i="27"/>
  <c r="E22" i="27"/>
  <c r="AE23" i="27"/>
  <c r="E40" i="41"/>
  <c r="I13" i="27"/>
  <c r="S235" i="40"/>
  <c r="S230" i="40" s="1"/>
  <c r="S230" i="6"/>
  <c r="O16" i="23"/>
  <c r="P16" i="21"/>
  <c r="S13" i="18"/>
  <c r="AF16" i="18" s="1"/>
  <c r="N13" i="31"/>
  <c r="AE12" i="31"/>
  <c r="AF13" i="29"/>
  <c r="AF12" i="29"/>
  <c r="Q54" i="6"/>
  <c r="D30" i="41" s="1"/>
  <c r="F30" i="41" s="1"/>
  <c r="G30" i="41" s="1"/>
  <c r="Q55" i="40"/>
  <c r="Q54" i="40" s="1"/>
  <c r="C27" i="43" s="1"/>
  <c r="E41" i="43"/>
  <c r="P16" i="16"/>
  <c r="M110" i="40"/>
  <c r="K110" i="6"/>
  <c r="R187" i="40"/>
  <c r="R182" i="40" s="1"/>
  <c r="D35" i="43" s="1"/>
  <c r="R182" i="6"/>
  <c r="K38" i="41" s="1"/>
  <c r="M38" i="41" s="1"/>
  <c r="N38" i="41" s="1"/>
  <c r="V17" i="23"/>
  <c r="E54" i="40"/>
  <c r="J86" i="40"/>
  <c r="X32" i="22"/>
  <c r="X33" i="23"/>
  <c r="Z13" i="28"/>
  <c r="AF12" i="28"/>
  <c r="Q251" i="6"/>
  <c r="Q251" i="40" s="1"/>
  <c r="E251" i="40"/>
  <c r="Q187" i="40"/>
  <c r="Q182" i="40" s="1"/>
  <c r="C35" i="43" s="1"/>
  <c r="Q182" i="6"/>
  <c r="D38" i="41" s="1"/>
  <c r="F38" i="41" s="1"/>
  <c r="G38" i="41" s="1"/>
  <c r="O26" i="14"/>
  <c r="R222" i="6"/>
  <c r="R222" i="40" s="1"/>
  <c r="L222" i="40"/>
  <c r="H26" i="15"/>
  <c r="H25" i="16"/>
  <c r="AE12" i="29"/>
  <c r="N13" i="29"/>
  <c r="J13" i="31"/>
  <c r="AE15" i="31"/>
  <c r="N226" i="40"/>
  <c r="L226" i="6"/>
  <c r="R247" i="6"/>
  <c r="F246" i="6"/>
  <c r="F247" i="40"/>
  <c r="F246" i="40" s="1"/>
  <c r="F138" i="40"/>
  <c r="Z13" i="30"/>
  <c r="AF12" i="30"/>
  <c r="Z13" i="24"/>
  <c r="AF12" i="24"/>
  <c r="N54" i="40"/>
  <c r="G54" i="40"/>
  <c r="R13" i="31"/>
  <c r="V18" i="31"/>
  <c r="N18" i="6"/>
  <c r="Q21" i="17"/>
  <c r="Q12" i="17" s="1"/>
  <c r="O12" i="17"/>
  <c r="P59" i="6"/>
  <c r="S13" i="17"/>
  <c r="AF16" i="17" s="1"/>
  <c r="R13" i="17"/>
  <c r="U13" i="17"/>
  <c r="AF18" i="17" s="1"/>
  <c r="T13" i="17"/>
  <c r="AF17" i="17" s="1"/>
  <c r="M105" i="40"/>
  <c r="K105" i="6"/>
  <c r="H28" i="19" s="1"/>
  <c r="AA21" i="14"/>
  <c r="P21" i="14" s="1"/>
  <c r="AA20" i="15"/>
  <c r="D4" i="4"/>
  <c r="G25" i="16"/>
  <c r="G26" i="15"/>
  <c r="D16" i="23"/>
  <c r="K54" i="40"/>
  <c r="F36" i="21"/>
  <c r="G36" i="21"/>
  <c r="I36" i="21"/>
  <c r="L36" i="21"/>
  <c r="K36" i="21"/>
  <c r="M36" i="21"/>
  <c r="H36" i="21"/>
  <c r="D36" i="21"/>
  <c r="R89" i="6"/>
  <c r="R89" i="40" s="1"/>
  <c r="L89" i="40"/>
  <c r="T23" i="18"/>
  <c r="Q15" i="18"/>
  <c r="N91" i="40"/>
  <c r="L91" i="6"/>
  <c r="W16" i="23"/>
  <c r="Z16" i="23" s="1"/>
  <c r="Z16" i="21"/>
  <c r="M16" i="6"/>
  <c r="N114" i="40"/>
  <c r="L114" i="6"/>
  <c r="AF18" i="29"/>
  <c r="F10" i="6"/>
  <c r="Q12" i="31"/>
  <c r="Q13" i="31"/>
  <c r="Q93" i="6"/>
  <c r="Q93" i="40" s="1"/>
  <c r="H23" i="18"/>
  <c r="K93" i="40"/>
  <c r="AF16" i="30"/>
  <c r="AF13" i="30"/>
  <c r="H54" i="40"/>
  <c r="I86" i="40"/>
  <c r="S33" i="23"/>
  <c r="S32" i="22"/>
  <c r="Q109" i="6"/>
  <c r="Q109" i="40" s="1"/>
  <c r="K109" i="40"/>
  <c r="AE12" i="30"/>
  <c r="N13" i="30"/>
  <c r="R27" i="14"/>
  <c r="Y27" i="14"/>
  <c r="W27" i="14"/>
  <c r="S27" i="14"/>
  <c r="X27" i="14"/>
  <c r="T27" i="14"/>
  <c r="P27" i="14"/>
  <c r="R106" i="6"/>
  <c r="R106" i="40" s="1"/>
  <c r="L106" i="40"/>
  <c r="F214" i="40"/>
  <c r="O17" i="15"/>
  <c r="AF20" i="15" s="1"/>
  <c r="U17" i="15"/>
  <c r="T17" i="15"/>
  <c r="S17" i="15"/>
  <c r="N6" i="9"/>
  <c r="Q28" i="9"/>
  <c r="Q31" i="9"/>
  <c r="Q30" i="9" s="1"/>
  <c r="E15" i="15"/>
  <c r="D15" i="15"/>
  <c r="H9" i="9"/>
  <c r="M15" i="15"/>
  <c r="G86" i="40"/>
  <c r="AF23" i="19"/>
  <c r="P28" i="19"/>
  <c r="Y31" i="19"/>
  <c r="N111" i="6" s="1"/>
  <c r="S28" i="19"/>
  <c r="S13" i="19" s="1"/>
  <c r="AF16" i="19" s="1"/>
  <c r="Q198" i="6"/>
  <c r="D39" i="41" s="1"/>
  <c r="F39" i="41" s="1"/>
  <c r="G39" i="41" s="1"/>
  <c r="Q199" i="40"/>
  <c r="Q198" i="40" s="1"/>
  <c r="C36" i="43" s="1"/>
  <c r="E107" i="40"/>
  <c r="J108" i="40"/>
  <c r="N108" i="40"/>
  <c r="G109" i="40"/>
  <c r="O109" i="40"/>
  <c r="H110" i="40"/>
  <c r="P110" i="40"/>
  <c r="O103" i="40"/>
  <c r="H104" i="40"/>
  <c r="P104" i="40"/>
  <c r="J105" i="40"/>
  <c r="N105" i="40"/>
  <c r="H106" i="40"/>
  <c r="P106" i="40"/>
  <c r="J111" i="40"/>
  <c r="G112" i="40"/>
  <c r="O112" i="40"/>
  <c r="E113" i="40"/>
  <c r="I113" i="40"/>
  <c r="G114" i="40"/>
  <c r="O114" i="40"/>
  <c r="F108" i="40"/>
  <c r="F104" i="40"/>
  <c r="F112" i="40"/>
  <c r="J107" i="40"/>
  <c r="G108" i="40"/>
  <c r="S108" i="40"/>
  <c r="I109" i="40"/>
  <c r="I107" i="40"/>
  <c r="H108" i="40"/>
  <c r="P108" i="40"/>
  <c r="H109" i="40"/>
  <c r="E110" i="40"/>
  <c r="J104" i="40"/>
  <c r="E105" i="40"/>
  <c r="O105" i="40"/>
  <c r="G106" i="40"/>
  <c r="I111" i="40"/>
  <c r="P111" i="40"/>
  <c r="E112" i="40"/>
  <c r="G113" i="40"/>
  <c r="N113" i="40"/>
  <c r="J114" i="40"/>
  <c r="F105" i="40"/>
  <c r="F114" i="40"/>
  <c r="AB35" i="19"/>
  <c r="AB17" i="19"/>
  <c r="B31" i="4"/>
  <c r="I108" i="40"/>
  <c r="O108" i="40"/>
  <c r="J109" i="40"/>
  <c r="P109" i="40"/>
  <c r="G110" i="40"/>
  <c r="N110" i="40"/>
  <c r="S110" i="40"/>
  <c r="S103" i="40"/>
  <c r="I104" i="40"/>
  <c r="O104" i="40"/>
  <c r="H105" i="40"/>
  <c r="J106" i="40"/>
  <c r="E111" i="40"/>
  <c r="O111" i="40"/>
  <c r="H112" i="40"/>
  <c r="N112" i="40"/>
  <c r="J113" i="40"/>
  <c r="P113" i="40"/>
  <c r="S113" i="40"/>
  <c r="I114" i="40"/>
  <c r="P114" i="40"/>
  <c r="F109" i="40"/>
  <c r="F106" i="40"/>
  <c r="F107" i="40"/>
  <c r="J110" i="40"/>
  <c r="P103" i="40"/>
  <c r="G105" i="40"/>
  <c r="H111" i="40"/>
  <c r="H113" i="40"/>
  <c r="F110" i="40"/>
  <c r="AB31" i="19"/>
  <c r="AB28" i="19"/>
  <c r="E28" i="19" s="1"/>
  <c r="AB16" i="19"/>
  <c r="G31" i="4"/>
  <c r="E104" i="40"/>
  <c r="J112" i="40"/>
  <c r="E114" i="40"/>
  <c r="F111" i="40"/>
  <c r="C31" i="4"/>
  <c r="H103" i="40"/>
  <c r="H102" i="40" s="1"/>
  <c r="E109" i="40"/>
  <c r="O110" i="40"/>
  <c r="G104" i="40"/>
  <c r="P105" i="40"/>
  <c r="I106" i="40"/>
  <c r="I112" i="40"/>
  <c r="O113" i="40"/>
  <c r="N109" i="40"/>
  <c r="I110" i="40"/>
  <c r="J103" i="40"/>
  <c r="N104" i="40"/>
  <c r="I105" i="40"/>
  <c r="S105" i="40"/>
  <c r="O106" i="40"/>
  <c r="G111" i="40"/>
  <c r="S111" i="40"/>
  <c r="P112" i="40"/>
  <c r="I103" i="40"/>
  <c r="E106" i="40"/>
  <c r="AB32" i="19"/>
  <c r="E32" i="19" s="1"/>
  <c r="AB25" i="19"/>
  <c r="G107" i="40"/>
  <c r="E108" i="40"/>
  <c r="S109" i="40"/>
  <c r="S112" i="40"/>
  <c r="H114" i="40"/>
  <c r="F113" i="40"/>
  <c r="AB24" i="19"/>
  <c r="AB15" i="19"/>
  <c r="AB31" i="34" s="1"/>
  <c r="AB23" i="19"/>
  <c r="D31" i="4"/>
  <c r="L110" i="40"/>
  <c r="L113" i="40"/>
  <c r="S104" i="40"/>
  <c r="L104" i="40"/>
  <c r="L105" i="40"/>
  <c r="S106" i="40"/>
  <c r="L112" i="40"/>
  <c r="L108" i="40"/>
  <c r="S114" i="40"/>
  <c r="G103" i="40"/>
  <c r="D23" i="18"/>
  <c r="X31" i="19"/>
  <c r="N107" i="6" s="1"/>
  <c r="R109" i="40"/>
  <c r="R71" i="40"/>
  <c r="R70" i="40" s="1"/>
  <c r="D28" i="43" s="1"/>
  <c r="R70" i="6"/>
  <c r="K31" i="41" s="1"/>
  <c r="M31" i="41" s="1"/>
  <c r="N31" i="41" s="1"/>
  <c r="G27" i="18"/>
  <c r="G13" i="18" s="1"/>
  <c r="AE16" i="18" s="1"/>
  <c r="R104" i="40"/>
  <c r="V13" i="28"/>
  <c r="AF15" i="28"/>
  <c r="B3" i="9"/>
  <c r="C15" i="16"/>
  <c r="H15" i="16"/>
  <c r="G15" i="16"/>
  <c r="AE18" i="34"/>
  <c r="M109" i="40"/>
  <c r="R54" i="40"/>
  <c r="D27" i="43" s="1"/>
  <c r="E27" i="43" s="1"/>
  <c r="I26" i="15"/>
  <c r="I25" i="16"/>
  <c r="Q88" i="6"/>
  <c r="Q88" i="40" s="1"/>
  <c r="K88" i="40"/>
  <c r="F198" i="40"/>
  <c r="L247" i="40"/>
  <c r="L246" i="40" s="1"/>
  <c r="L246" i="6"/>
  <c r="Z13" i="29"/>
  <c r="P24" i="34" l="1"/>
  <c r="D24" i="34"/>
  <c r="E102" i="40"/>
  <c r="D28" i="19"/>
  <c r="AB15" i="34"/>
  <c r="E15" i="34" s="1"/>
  <c r="O20" i="15"/>
  <c r="S24" i="34"/>
  <c r="S13" i="34" s="1"/>
  <c r="AF16" i="34" s="1"/>
  <c r="L138" i="40"/>
  <c r="AF18" i="34"/>
  <c r="AF16" i="27"/>
  <c r="AB24" i="34"/>
  <c r="G28" i="19"/>
  <c r="G24" i="34" s="1"/>
  <c r="Z31" i="19"/>
  <c r="AF17" i="27"/>
  <c r="AB21" i="34"/>
  <c r="Q21" i="34" s="1"/>
  <c r="E34" i="43"/>
  <c r="Q28" i="19"/>
  <c r="E33" i="6"/>
  <c r="H15" i="15"/>
  <c r="B9" i="9"/>
  <c r="H15" i="14" s="1"/>
  <c r="N3" i="9"/>
  <c r="N10" i="9"/>
  <c r="N9" i="9"/>
  <c r="N8" i="9"/>
  <c r="S26" i="15"/>
  <c r="S25" i="16"/>
  <c r="H24" i="34"/>
  <c r="H27" i="18"/>
  <c r="H13" i="18" s="1"/>
  <c r="AE17" i="18" s="1"/>
  <c r="F32" i="22"/>
  <c r="J36" i="21"/>
  <c r="F33" i="23"/>
  <c r="E30" i="18"/>
  <c r="O91" i="6"/>
  <c r="R95" i="6"/>
  <c r="R95" i="40" s="1"/>
  <c r="L95" i="40"/>
  <c r="Y23" i="18"/>
  <c r="Q106" i="6"/>
  <c r="Q106" i="40" s="1"/>
  <c r="K106" i="40"/>
  <c r="E36" i="43"/>
  <c r="AE21" i="22"/>
  <c r="D19" i="22"/>
  <c r="G138" i="6"/>
  <c r="R145" i="6"/>
  <c r="R145" i="40" s="1"/>
  <c r="L145" i="40"/>
  <c r="Q140" i="6"/>
  <c r="Q140" i="40" s="1"/>
  <c r="K140" i="40"/>
  <c r="K123" i="6"/>
  <c r="M123" i="40"/>
  <c r="E21" i="34"/>
  <c r="J157" i="6"/>
  <c r="P29" i="23"/>
  <c r="P33" i="23"/>
  <c r="AF23" i="23"/>
  <c r="Q159" i="6"/>
  <c r="Q159" i="40" s="1"/>
  <c r="K159" i="40"/>
  <c r="D23" i="23"/>
  <c r="Q158" i="6"/>
  <c r="Q158" i="40" s="1"/>
  <c r="K158" i="40"/>
  <c r="N107" i="40"/>
  <c r="L107" i="6"/>
  <c r="W26" i="15"/>
  <c r="W25" i="16"/>
  <c r="Z25" i="16" s="1"/>
  <c r="Z27" i="14"/>
  <c r="T13" i="18"/>
  <c r="AF17" i="18" s="1"/>
  <c r="T24" i="34"/>
  <c r="T13" i="34" s="1"/>
  <c r="AF17" i="34" s="1"/>
  <c r="M127" i="40"/>
  <c r="K127" i="6"/>
  <c r="AF12" i="20"/>
  <c r="AA26" i="15"/>
  <c r="E5" i="4"/>
  <c r="K137" i="40"/>
  <c r="Q137" i="6"/>
  <c r="Q137" i="40" s="1"/>
  <c r="K141" i="40"/>
  <c r="V16" i="21"/>
  <c r="R16" i="23"/>
  <c r="V16" i="23" s="1"/>
  <c r="L25" i="27"/>
  <c r="M219" i="6" s="1"/>
  <c r="N219" i="6"/>
  <c r="N11" i="6" s="1"/>
  <c r="F34" i="4"/>
  <c r="P155" i="6"/>
  <c r="P36" i="23"/>
  <c r="K153" i="40"/>
  <c r="P28" i="23"/>
  <c r="J155" i="6"/>
  <c r="J155" i="40" s="1"/>
  <c r="J151" i="6"/>
  <c r="AF22" i="23"/>
  <c r="P27" i="23"/>
  <c r="K162" i="40"/>
  <c r="Q162" i="6"/>
  <c r="Q162" i="40" s="1"/>
  <c r="R158" i="6"/>
  <c r="R158" i="40" s="1"/>
  <c r="L158" i="40"/>
  <c r="J102" i="40"/>
  <c r="T25" i="16"/>
  <c r="T26" i="15"/>
  <c r="Y26" i="15"/>
  <c r="Y25" i="16"/>
  <c r="M32" i="22"/>
  <c r="M33" i="23"/>
  <c r="K105" i="40"/>
  <c r="Q105" i="6"/>
  <c r="Q105" i="40" s="1"/>
  <c r="P59" i="40"/>
  <c r="P54" i="40" s="1"/>
  <c r="S59" i="6"/>
  <c r="P54" i="6"/>
  <c r="R226" i="6"/>
  <c r="R226" i="40" s="1"/>
  <c r="L226" i="40"/>
  <c r="S26" i="14"/>
  <c r="P26" i="14"/>
  <c r="AE16" i="27"/>
  <c r="N119" i="6"/>
  <c r="Z24" i="20"/>
  <c r="Q113" i="6"/>
  <c r="Q113" i="40" s="1"/>
  <c r="K113" i="40"/>
  <c r="F26" i="14"/>
  <c r="G26" i="14"/>
  <c r="K26" i="14"/>
  <c r="C24" i="38"/>
  <c r="E24" i="38" s="1"/>
  <c r="D26" i="14"/>
  <c r="P91" i="6"/>
  <c r="Q30" i="18"/>
  <c r="Q246" i="6"/>
  <c r="D42" i="41" s="1"/>
  <c r="F42" i="41" s="1"/>
  <c r="G42" i="41" s="1"/>
  <c r="Q247" i="40"/>
  <c r="Q246" i="40" s="1"/>
  <c r="C39" i="43" s="1"/>
  <c r="V32" i="22"/>
  <c r="E192" i="4"/>
  <c r="N25" i="16"/>
  <c r="C25" i="16"/>
  <c r="O25" i="16"/>
  <c r="Q104" i="6"/>
  <c r="Q104" i="40" s="1"/>
  <c r="K104" i="40"/>
  <c r="C4" i="4"/>
  <c r="C33" i="4"/>
  <c r="D33" i="4"/>
  <c r="AE23" i="22"/>
  <c r="D32" i="22"/>
  <c r="P23" i="22"/>
  <c r="J141" i="6"/>
  <c r="P28" i="22"/>
  <c r="AE22" i="22"/>
  <c r="I135" i="6"/>
  <c r="P27" i="22"/>
  <c r="Q136" i="6"/>
  <c r="Q136" i="40" s="1"/>
  <c r="K136" i="40"/>
  <c r="I139" i="6"/>
  <c r="I139" i="40" s="1"/>
  <c r="D27" i="22"/>
  <c r="K135" i="40"/>
  <c r="K134" i="6"/>
  <c r="D22" i="22"/>
  <c r="K139" i="40"/>
  <c r="P22" i="22"/>
  <c r="Q15" i="34"/>
  <c r="J16" i="21"/>
  <c r="F16" i="23"/>
  <c r="J16" i="23" s="1"/>
  <c r="J25" i="16"/>
  <c r="L123" i="6"/>
  <c r="N123" i="40"/>
  <c r="N87" i="40"/>
  <c r="N86" i="40" s="1"/>
  <c r="N86" i="6"/>
  <c r="L87" i="6"/>
  <c r="R23" i="18" s="1"/>
  <c r="O59" i="40"/>
  <c r="O54" i="40" s="1"/>
  <c r="O54" i="6"/>
  <c r="V22" i="27"/>
  <c r="R13" i="27"/>
  <c r="N215" i="6"/>
  <c r="K25" i="27"/>
  <c r="Z25" i="27"/>
  <c r="AB27" i="34"/>
  <c r="K151" i="40"/>
  <c r="K150" i="6"/>
  <c r="H151" i="6"/>
  <c r="H155" i="6"/>
  <c r="H155" i="40" s="1"/>
  <c r="P22" i="23"/>
  <c r="K152" i="40"/>
  <c r="I155" i="6"/>
  <c r="I155" i="40" s="1"/>
  <c r="I151" i="6"/>
  <c r="D28" i="23"/>
  <c r="D15" i="23"/>
  <c r="K161" i="40"/>
  <c r="R162" i="6"/>
  <c r="R162" i="40" s="1"/>
  <c r="L162" i="40"/>
  <c r="R159" i="6"/>
  <c r="R159" i="40" s="1"/>
  <c r="L159" i="40"/>
  <c r="L154" i="40"/>
  <c r="L155" i="40"/>
  <c r="E24" i="19"/>
  <c r="Q24" i="19"/>
  <c r="P17" i="15"/>
  <c r="V27" i="14"/>
  <c r="R26" i="15"/>
  <c r="R25" i="16"/>
  <c r="H32" i="19"/>
  <c r="H13" i="19" s="1"/>
  <c r="AE17" i="19" s="1"/>
  <c r="L91" i="40"/>
  <c r="R91" i="6"/>
  <c r="R91" i="40" s="1"/>
  <c r="X23" i="18"/>
  <c r="L32" i="22"/>
  <c r="L33" i="23"/>
  <c r="AF15" i="17"/>
  <c r="V13" i="17"/>
  <c r="Q110" i="6"/>
  <c r="Q110" i="40" s="1"/>
  <c r="K110" i="40"/>
  <c r="M119" i="6"/>
  <c r="N24" i="20"/>
  <c r="W16" i="15"/>
  <c r="Z16" i="15" s="1"/>
  <c r="Z17" i="14"/>
  <c r="Q112" i="6"/>
  <c r="Q112" i="40" s="1"/>
  <c r="K112" i="40"/>
  <c r="AA24" i="16"/>
  <c r="G6" i="4"/>
  <c r="AA30" i="16"/>
  <c r="O139" i="6"/>
  <c r="D35" i="22"/>
  <c r="P21" i="22"/>
  <c r="H135" i="6"/>
  <c r="H139" i="6"/>
  <c r="R142" i="6"/>
  <c r="R142" i="40" s="1"/>
  <c r="L142" i="40"/>
  <c r="Q143" i="6"/>
  <c r="Q143" i="40" s="1"/>
  <c r="K143" i="40"/>
  <c r="J139" i="6"/>
  <c r="J139" i="40" s="1"/>
  <c r="AF22" i="22"/>
  <c r="J135" i="6"/>
  <c r="P26" i="22"/>
  <c r="R137" i="6"/>
  <c r="R137" i="40" s="1"/>
  <c r="L137" i="40"/>
  <c r="F102" i="40"/>
  <c r="B19" i="9"/>
  <c r="H15" i="23"/>
  <c r="M155" i="40"/>
  <c r="J156" i="40"/>
  <c r="N156" i="40"/>
  <c r="G157" i="40"/>
  <c r="O157" i="40"/>
  <c r="H158" i="40"/>
  <c r="P158" i="40"/>
  <c r="O151" i="40"/>
  <c r="J152" i="40"/>
  <c r="N152" i="40"/>
  <c r="I153" i="40"/>
  <c r="M153" i="40"/>
  <c r="P154" i="40"/>
  <c r="E159" i="40"/>
  <c r="I159" i="40"/>
  <c r="M159" i="40"/>
  <c r="G160" i="40"/>
  <c r="O160" i="40"/>
  <c r="I161" i="40"/>
  <c r="M161" i="40"/>
  <c r="G162" i="40"/>
  <c r="O162" i="40"/>
  <c r="F156" i="40"/>
  <c r="F152" i="40"/>
  <c r="F160" i="40"/>
  <c r="G156" i="40"/>
  <c r="M156" i="40"/>
  <c r="S156" i="40"/>
  <c r="P157" i="40"/>
  <c r="G158" i="40"/>
  <c r="N158" i="40"/>
  <c r="N151" i="40"/>
  <c r="O153" i="40"/>
  <c r="I154" i="40"/>
  <c r="O154" i="40"/>
  <c r="G159" i="40"/>
  <c r="N159" i="40"/>
  <c r="J160" i="40"/>
  <c r="M160" i="40"/>
  <c r="O161" i="40"/>
  <c r="E162" i="40"/>
  <c r="F158" i="40"/>
  <c r="F159" i="40"/>
  <c r="H157" i="40"/>
  <c r="S157" i="40"/>
  <c r="O158" i="40"/>
  <c r="P151" i="40"/>
  <c r="P152" i="40"/>
  <c r="N153" i="40"/>
  <c r="N154" i="40"/>
  <c r="E160" i="40"/>
  <c r="N161" i="40"/>
  <c r="M162" i="40"/>
  <c r="F153" i="40"/>
  <c r="N155" i="40"/>
  <c r="H156" i="40"/>
  <c r="M157" i="40"/>
  <c r="I156" i="40"/>
  <c r="P156" i="40"/>
  <c r="E157" i="40"/>
  <c r="J158" i="40"/>
  <c r="M158" i="40"/>
  <c r="M151" i="40"/>
  <c r="E152" i="40"/>
  <c r="M152" i="40"/>
  <c r="S152" i="40"/>
  <c r="J159" i="40"/>
  <c r="P159" i="40"/>
  <c r="S159" i="40"/>
  <c r="I160" i="40"/>
  <c r="P160" i="40"/>
  <c r="H161" i="40"/>
  <c r="H162" i="40"/>
  <c r="N162" i="40"/>
  <c r="F161" i="40"/>
  <c r="E156" i="40"/>
  <c r="O156" i="40"/>
  <c r="N157" i="40"/>
  <c r="I158" i="40"/>
  <c r="I152" i="40"/>
  <c r="S154" i="40"/>
  <c r="O159" i="40"/>
  <c r="G161" i="40"/>
  <c r="J162" i="40"/>
  <c r="S162" i="40"/>
  <c r="F162" i="40"/>
  <c r="E158" i="40"/>
  <c r="J154" i="40"/>
  <c r="N160" i="40"/>
  <c r="B34" i="4"/>
  <c r="J161" i="40"/>
  <c r="O152" i="40"/>
  <c r="P161" i="40"/>
  <c r="P162" i="40"/>
  <c r="J153" i="40"/>
  <c r="M154" i="40"/>
  <c r="S161" i="40"/>
  <c r="F157" i="40"/>
  <c r="G34" i="4"/>
  <c r="P153" i="40"/>
  <c r="I162" i="40"/>
  <c r="H159" i="40"/>
  <c r="H160" i="40"/>
  <c r="S160" i="40"/>
  <c r="S153" i="40"/>
  <c r="S151" i="40"/>
  <c r="S158" i="40"/>
  <c r="F154" i="40"/>
  <c r="D24" i="23"/>
  <c r="AE23" i="23"/>
  <c r="D33" i="23"/>
  <c r="P24" i="23"/>
  <c r="K157" i="40"/>
  <c r="P23" i="23"/>
  <c r="Q31" i="19"/>
  <c r="E31" i="19"/>
  <c r="E17" i="19"/>
  <c r="Q17" i="19"/>
  <c r="V17" i="15"/>
  <c r="C17" i="15"/>
  <c r="H32" i="22"/>
  <c r="H33" i="23"/>
  <c r="R247" i="40"/>
  <c r="R246" i="40" s="1"/>
  <c r="D39" i="43" s="1"/>
  <c r="R246" i="6"/>
  <c r="K42" i="41" s="1"/>
  <c r="M42" i="41" s="1"/>
  <c r="N42" i="41" s="1"/>
  <c r="F13" i="27"/>
  <c r="J22" i="27"/>
  <c r="O20" i="16"/>
  <c r="C27" i="9"/>
  <c r="K23" i="5"/>
  <c r="E23" i="5" s="1"/>
  <c r="E9" i="5" s="1"/>
  <c r="E6" i="5" s="1"/>
  <c r="C35" i="19"/>
  <c r="O35" i="19"/>
  <c r="O31" i="34" s="1"/>
  <c r="K114" i="40"/>
  <c r="Q114" i="6"/>
  <c r="Q114" i="40" s="1"/>
  <c r="AF12" i="31"/>
  <c r="Z13" i="31"/>
  <c r="N26" i="15"/>
  <c r="N103" i="40"/>
  <c r="N102" i="6"/>
  <c r="L103" i="6"/>
  <c r="N139" i="40"/>
  <c r="G140" i="40"/>
  <c r="O140" i="40"/>
  <c r="H141" i="40"/>
  <c r="P141" i="40"/>
  <c r="E142" i="40"/>
  <c r="I142" i="40"/>
  <c r="M142" i="40"/>
  <c r="P135" i="40"/>
  <c r="E136" i="40"/>
  <c r="I136" i="40"/>
  <c r="M136" i="40"/>
  <c r="G137" i="40"/>
  <c r="O137" i="40"/>
  <c r="I138" i="40"/>
  <c r="M138" i="40"/>
  <c r="G143" i="40"/>
  <c r="O143" i="40"/>
  <c r="E144" i="40"/>
  <c r="I144" i="40"/>
  <c r="M144" i="40"/>
  <c r="G145" i="40"/>
  <c r="I140" i="40"/>
  <c r="P140" i="40"/>
  <c r="G141" i="40"/>
  <c r="N141" i="40"/>
  <c r="O142" i="40"/>
  <c r="O135" i="40"/>
  <c r="G136" i="40"/>
  <c r="N136" i="40"/>
  <c r="J137" i="40"/>
  <c r="M137" i="40"/>
  <c r="O138" i="40"/>
  <c r="E143" i="40"/>
  <c r="G144" i="40"/>
  <c r="N144" i="40"/>
  <c r="J145" i="40"/>
  <c r="M145" i="40"/>
  <c r="G146" i="40"/>
  <c r="O146" i="40"/>
  <c r="F140" i="40"/>
  <c r="F136" i="40"/>
  <c r="F144" i="40"/>
  <c r="E140" i="40"/>
  <c r="M141" i="40"/>
  <c r="H142" i="40"/>
  <c r="J136" i="40"/>
  <c r="P136" i="40"/>
  <c r="S136" i="40"/>
  <c r="I137" i="40"/>
  <c r="P137" i="40"/>
  <c r="M140" i="40"/>
  <c r="G142" i="40"/>
  <c r="M135" i="40"/>
  <c r="N137" i="40"/>
  <c r="J138" i="40"/>
  <c r="J143" i="40"/>
  <c r="P143" i="40"/>
  <c r="J144" i="40"/>
  <c r="O144" i="40"/>
  <c r="E145" i="40"/>
  <c r="N145" i="40"/>
  <c r="J146" i="40"/>
  <c r="M146" i="40"/>
  <c r="F137" i="40"/>
  <c r="F146" i="40"/>
  <c r="S140" i="40"/>
  <c r="N142" i="40"/>
  <c r="S135" i="40"/>
  <c r="H137" i="40"/>
  <c r="N138" i="40"/>
  <c r="S138" i="40"/>
  <c r="S143" i="40"/>
  <c r="I145" i="40"/>
  <c r="F142" i="40"/>
  <c r="N140" i="40"/>
  <c r="H136" i="40"/>
  <c r="P138" i="40"/>
  <c r="M143" i="40"/>
  <c r="P144" i="40"/>
  <c r="S144" i="40"/>
  <c r="N146" i="40"/>
  <c r="F145" i="40"/>
  <c r="H140" i="40"/>
  <c r="J142" i="40"/>
  <c r="E137" i="40"/>
  <c r="I143" i="40"/>
  <c r="H145" i="40"/>
  <c r="P145" i="40"/>
  <c r="S145" i="40"/>
  <c r="I146" i="40"/>
  <c r="P146" i="40"/>
  <c r="F141" i="40"/>
  <c r="M139" i="40"/>
  <c r="J140" i="40"/>
  <c r="O141" i="40"/>
  <c r="O136" i="40"/>
  <c r="N143" i="40"/>
  <c r="O145" i="40"/>
  <c r="F143" i="40"/>
  <c r="G33" i="4"/>
  <c r="E141" i="40"/>
  <c r="P142" i="40"/>
  <c r="N135" i="40"/>
  <c r="H143" i="40"/>
  <c r="H144" i="40"/>
  <c r="H146" i="40"/>
  <c r="AB39" i="21"/>
  <c r="S146" i="40"/>
  <c r="S137" i="40"/>
  <c r="S142" i="40"/>
  <c r="S141" i="40"/>
  <c r="B33" i="4"/>
  <c r="K146" i="40"/>
  <c r="D15" i="22"/>
  <c r="R143" i="6"/>
  <c r="R143" i="40" s="1"/>
  <c r="L143" i="40"/>
  <c r="D21" i="22"/>
  <c r="G139" i="6"/>
  <c r="G135" i="6"/>
  <c r="L135" i="40"/>
  <c r="L134" i="6"/>
  <c r="R146" i="6"/>
  <c r="R146" i="40" s="1"/>
  <c r="L146" i="40"/>
  <c r="L136" i="40"/>
  <c r="R136" i="6"/>
  <c r="R136" i="40" s="1"/>
  <c r="C34" i="4"/>
  <c r="K154" i="40"/>
  <c r="AE22" i="23"/>
  <c r="Q156" i="6"/>
  <c r="Q156" i="40" s="1"/>
  <c r="K156" i="40"/>
  <c r="R161" i="6"/>
  <c r="R161" i="40" s="1"/>
  <c r="L161" i="40"/>
  <c r="R160" i="6"/>
  <c r="R160" i="40" s="1"/>
  <c r="L160" i="40"/>
  <c r="D15" i="16"/>
  <c r="Q23" i="19"/>
  <c r="E23" i="19"/>
  <c r="I102" i="40"/>
  <c r="C15" i="14"/>
  <c r="B6" i="9"/>
  <c r="B5" i="9" s="1"/>
  <c r="B4" i="9"/>
  <c r="E28" i="43"/>
  <c r="G102" i="40"/>
  <c r="E15" i="19"/>
  <c r="Q15" i="19"/>
  <c r="E25" i="19"/>
  <c r="Q25" i="19"/>
  <c r="Q16" i="19"/>
  <c r="E16" i="19"/>
  <c r="N111" i="40"/>
  <c r="L111" i="6"/>
  <c r="X26" i="15"/>
  <c r="X25" i="16"/>
  <c r="R114" i="6"/>
  <c r="R114" i="40" s="1"/>
  <c r="L114" i="40"/>
  <c r="K32" i="22"/>
  <c r="K33" i="23"/>
  <c r="N36" i="21"/>
  <c r="G32" i="22"/>
  <c r="G33" i="23"/>
  <c r="AF15" i="31"/>
  <c r="V13" i="31"/>
  <c r="P16" i="23"/>
  <c r="AE18" i="27"/>
  <c r="AE17" i="27"/>
  <c r="L127" i="6"/>
  <c r="N127" i="40"/>
  <c r="AA31" i="34"/>
  <c r="K16" i="15"/>
  <c r="N16" i="15" s="1"/>
  <c r="N17" i="14"/>
  <c r="E246" i="40"/>
  <c r="E154" i="40"/>
  <c r="Z33" i="23"/>
  <c r="V33" i="23"/>
  <c r="AE18" i="19"/>
  <c r="P139" i="6"/>
  <c r="P35" i="22"/>
  <c r="D20" i="22"/>
  <c r="P20" i="22"/>
  <c r="D23" i="22"/>
  <c r="Q144" i="6"/>
  <c r="Q144" i="40" s="1"/>
  <c r="K144" i="40"/>
  <c r="P29" i="22"/>
  <c r="K145" i="40"/>
  <c r="Q145" i="6"/>
  <c r="Q145" i="40" s="1"/>
  <c r="I141" i="6"/>
  <c r="D28" i="22"/>
  <c r="AF21" i="22"/>
  <c r="H138" i="6"/>
  <c r="P19" i="22"/>
  <c r="Q142" i="6"/>
  <c r="Q142" i="40" s="1"/>
  <c r="K142" i="40"/>
  <c r="AF23" i="22"/>
  <c r="P32" i="22"/>
  <c r="R140" i="6"/>
  <c r="R140" i="40" s="1"/>
  <c r="L140" i="40"/>
  <c r="L141" i="40"/>
  <c r="R144" i="6"/>
  <c r="R144" i="40" s="1"/>
  <c r="L144" i="40"/>
  <c r="S75" i="40"/>
  <c r="S70" i="40" s="1"/>
  <c r="S70" i="6"/>
  <c r="J26" i="15"/>
  <c r="X13" i="20"/>
  <c r="AF11" i="20" s="1"/>
  <c r="M25" i="27"/>
  <c r="M223" i="6" s="1"/>
  <c r="N223" i="6"/>
  <c r="AB28" i="34"/>
  <c r="E28" i="34" s="1"/>
  <c r="E34" i="4"/>
  <c r="AF21" i="23"/>
  <c r="H154" i="6"/>
  <c r="H152" i="6"/>
  <c r="P21" i="23"/>
  <c r="H153" i="6"/>
  <c r="G155" i="6"/>
  <c r="G155" i="40" s="1"/>
  <c r="D22" i="23"/>
  <c r="D34" i="4"/>
  <c r="D36" i="23"/>
  <c r="O155" i="6"/>
  <c r="I157" i="6"/>
  <c r="D29" i="23"/>
  <c r="K155" i="40"/>
  <c r="AE21" i="23"/>
  <c r="D21" i="23"/>
  <c r="R156" i="6"/>
  <c r="R156" i="40" s="1"/>
  <c r="L156" i="40"/>
  <c r="P30" i="23"/>
  <c r="Q160" i="6"/>
  <c r="Q160" i="40" s="1"/>
  <c r="K160" i="40"/>
  <c r="L157" i="40"/>
  <c r="L153" i="40"/>
  <c r="L151" i="40"/>
  <c r="L150" i="6"/>
  <c r="L152" i="40"/>
  <c r="L20" i="41" l="1"/>
  <c r="Q24" i="34"/>
  <c r="E24" i="34"/>
  <c r="B7" i="9"/>
  <c r="G32" i="19"/>
  <c r="G13" i="19" s="1"/>
  <c r="AE16" i="19" s="1"/>
  <c r="E39" i="43"/>
  <c r="H8" i="6"/>
  <c r="H152" i="40"/>
  <c r="R152" i="6"/>
  <c r="R152" i="40" s="1"/>
  <c r="S139" i="6"/>
  <c r="P139" i="40"/>
  <c r="P134" i="40" s="1"/>
  <c r="P134" i="6"/>
  <c r="N150" i="40"/>
  <c r="M43" i="40"/>
  <c r="G44" i="40"/>
  <c r="O44" i="40"/>
  <c r="H45" i="40"/>
  <c r="P45" i="40"/>
  <c r="E46" i="40"/>
  <c r="I46" i="40"/>
  <c r="M46" i="40"/>
  <c r="N39" i="40"/>
  <c r="G40" i="40"/>
  <c r="O40" i="40"/>
  <c r="H41" i="40"/>
  <c r="P41" i="40"/>
  <c r="I42" i="40"/>
  <c r="M42" i="40"/>
  <c r="J47" i="40"/>
  <c r="N47" i="40"/>
  <c r="G48" i="40"/>
  <c r="O48" i="40"/>
  <c r="H49" i="40"/>
  <c r="P49" i="40"/>
  <c r="I50" i="40"/>
  <c r="M50" i="40"/>
  <c r="F47" i="40"/>
  <c r="J44" i="40"/>
  <c r="M44" i="40"/>
  <c r="E45" i="40"/>
  <c r="J46" i="40"/>
  <c r="P46" i="40"/>
  <c r="H39" i="40"/>
  <c r="J40" i="40"/>
  <c r="M40" i="40"/>
  <c r="J42" i="40"/>
  <c r="P42" i="40"/>
  <c r="H47" i="40"/>
  <c r="J48" i="40"/>
  <c r="M48" i="40"/>
  <c r="J50" i="40"/>
  <c r="P50" i="40"/>
  <c r="E44" i="40"/>
  <c r="N44" i="40"/>
  <c r="G45" i="40"/>
  <c r="M45" i="40"/>
  <c r="H46" i="40"/>
  <c r="N46" i="40"/>
  <c r="G39" i="40"/>
  <c r="P39" i="40"/>
  <c r="E40" i="40"/>
  <c r="N40" i="40"/>
  <c r="G41" i="40"/>
  <c r="M41" i="40"/>
  <c r="H42" i="40"/>
  <c r="N42" i="40"/>
  <c r="G47" i="40"/>
  <c r="P47" i="40"/>
  <c r="E48" i="40"/>
  <c r="N48" i="40"/>
  <c r="G49" i="40"/>
  <c r="M49" i="40"/>
  <c r="H50" i="40"/>
  <c r="N50" i="40"/>
  <c r="F46" i="40"/>
  <c r="F49" i="40"/>
  <c r="AB21" i="16"/>
  <c r="H44" i="40"/>
  <c r="P44" i="40"/>
  <c r="J45" i="40"/>
  <c r="O45" i="40"/>
  <c r="G46" i="40"/>
  <c r="O46" i="40"/>
  <c r="O39" i="40"/>
  <c r="H40" i="40"/>
  <c r="P40" i="40"/>
  <c r="J41" i="40"/>
  <c r="O41" i="40"/>
  <c r="G42" i="40"/>
  <c r="O42" i="40"/>
  <c r="I47" i="40"/>
  <c r="O47" i="40"/>
  <c r="H48" i="40"/>
  <c r="P48" i="40"/>
  <c r="J49" i="40"/>
  <c r="O49" i="40"/>
  <c r="G50" i="40"/>
  <c r="O50" i="40"/>
  <c r="F40" i="40"/>
  <c r="F50" i="40"/>
  <c r="N43" i="40"/>
  <c r="I44" i="40"/>
  <c r="I45" i="40"/>
  <c r="I40" i="40"/>
  <c r="I41" i="40"/>
  <c r="I48" i="40"/>
  <c r="I49" i="40"/>
  <c r="F41" i="40"/>
  <c r="AB25" i="16"/>
  <c r="Q25" i="16" s="1"/>
  <c r="AB20" i="16"/>
  <c r="Q20" i="16" s="1"/>
  <c r="AB16" i="16"/>
  <c r="G28" i="4"/>
  <c r="AB30" i="16"/>
  <c r="C28" i="4"/>
  <c r="H43" i="40"/>
  <c r="S44" i="40"/>
  <c r="S40" i="40"/>
  <c r="E47" i="40"/>
  <c r="S48" i="40"/>
  <c r="F44" i="40"/>
  <c r="N45" i="40"/>
  <c r="M39" i="40"/>
  <c r="M38" i="40" s="1"/>
  <c r="N41" i="40"/>
  <c r="M47" i="40"/>
  <c r="N49" i="40"/>
  <c r="F48" i="40"/>
  <c r="AB17" i="16"/>
  <c r="Q17" i="16" s="1"/>
  <c r="F6" i="4"/>
  <c r="F28" i="4" s="1"/>
  <c r="G43" i="40"/>
  <c r="S45" i="40"/>
  <c r="S39" i="40"/>
  <c r="S41" i="40"/>
  <c r="S47" i="40"/>
  <c r="S49" i="40"/>
  <c r="AB15" i="16"/>
  <c r="E15" i="16" s="1"/>
  <c r="AB24" i="16"/>
  <c r="S46" i="40"/>
  <c r="S50" i="40"/>
  <c r="S42" i="40"/>
  <c r="F45" i="40"/>
  <c r="E49" i="40"/>
  <c r="F42" i="40"/>
  <c r="E41" i="40"/>
  <c r="B28" i="4"/>
  <c r="D28" i="4"/>
  <c r="P25" i="16"/>
  <c r="G24" i="16"/>
  <c r="G25" i="15"/>
  <c r="O91" i="40"/>
  <c r="O86" i="40" s="1"/>
  <c r="O86" i="6"/>
  <c r="J32" i="22"/>
  <c r="E25" i="6"/>
  <c r="H17" i="15"/>
  <c r="O155" i="40"/>
  <c r="O150" i="40" s="1"/>
  <c r="O150" i="6"/>
  <c r="H154" i="40"/>
  <c r="R154" i="6"/>
  <c r="R154" i="40" s="1"/>
  <c r="N223" i="40"/>
  <c r="L223" i="6"/>
  <c r="R127" i="6"/>
  <c r="R127" i="40" s="1"/>
  <c r="L127" i="40"/>
  <c r="O15" i="14"/>
  <c r="D15" i="14"/>
  <c r="G139" i="40"/>
  <c r="G11" i="6"/>
  <c r="AB20" i="21"/>
  <c r="AB25" i="21"/>
  <c r="AB16" i="21"/>
  <c r="AB15" i="21"/>
  <c r="AB24" i="21"/>
  <c r="AB31" i="21"/>
  <c r="AB36" i="21"/>
  <c r="AB23" i="21"/>
  <c r="AB18" i="21"/>
  <c r="Q18" i="21" s="1"/>
  <c r="AB19" i="21"/>
  <c r="AB32" i="21"/>
  <c r="Q39" i="21"/>
  <c r="AB27" i="21"/>
  <c r="AB30" i="21"/>
  <c r="AB17" i="21"/>
  <c r="Q17" i="21" s="1"/>
  <c r="AB33" i="21"/>
  <c r="AB26" i="21"/>
  <c r="E39" i="21"/>
  <c r="AB35" i="22"/>
  <c r="AB36" i="23"/>
  <c r="J13" i="27"/>
  <c r="AE15" i="27"/>
  <c r="M150" i="40"/>
  <c r="H15" i="21"/>
  <c r="B20" i="9"/>
  <c r="B17" i="9"/>
  <c r="L41" i="6"/>
  <c r="L44" i="6"/>
  <c r="L45" i="6"/>
  <c r="L46" i="6"/>
  <c r="L50" i="6"/>
  <c r="L47" i="6"/>
  <c r="L49" i="6"/>
  <c r="K43" i="6"/>
  <c r="K43" i="40" s="1"/>
  <c r="K47" i="6"/>
  <c r="K41" i="6"/>
  <c r="K46" i="6"/>
  <c r="L42" i="6"/>
  <c r="K39" i="6"/>
  <c r="K48" i="6"/>
  <c r="L48" i="6"/>
  <c r="K40" i="6"/>
  <c r="K42" i="6"/>
  <c r="K42" i="40" s="1"/>
  <c r="K49" i="6"/>
  <c r="K44" i="6"/>
  <c r="K45" i="6"/>
  <c r="O24" i="16"/>
  <c r="C24" i="16"/>
  <c r="L40" i="6"/>
  <c r="K50" i="6"/>
  <c r="K50" i="40" s="1"/>
  <c r="M215" i="6"/>
  <c r="N25" i="27"/>
  <c r="K134" i="40"/>
  <c r="R141" i="6"/>
  <c r="R141" i="40" s="1"/>
  <c r="J141" i="40"/>
  <c r="J13" i="6"/>
  <c r="D25" i="16"/>
  <c r="Q31" i="34"/>
  <c r="P31" i="34"/>
  <c r="N219" i="40"/>
  <c r="L219" i="6"/>
  <c r="C26" i="15"/>
  <c r="O26" i="15"/>
  <c r="Q127" i="6"/>
  <c r="Q127" i="40" s="1"/>
  <c r="M21" i="20"/>
  <c r="M13" i="20" s="1"/>
  <c r="AE13" i="20" s="1"/>
  <c r="K127" i="40"/>
  <c r="Z26" i="15"/>
  <c r="I17" i="15"/>
  <c r="E26" i="6"/>
  <c r="L150" i="40"/>
  <c r="H9" i="6"/>
  <c r="H153" i="40"/>
  <c r="R153" i="6"/>
  <c r="R153" i="40" s="1"/>
  <c r="M223" i="40"/>
  <c r="K223" i="6"/>
  <c r="N33" i="23"/>
  <c r="E4" i="9"/>
  <c r="W15" i="14"/>
  <c r="K15" i="14"/>
  <c r="Q35" i="19"/>
  <c r="P107" i="6"/>
  <c r="D17" i="15"/>
  <c r="E17" i="15"/>
  <c r="AE20" i="15"/>
  <c r="H139" i="40"/>
  <c r="H11" i="6"/>
  <c r="L26" i="18"/>
  <c r="M91" i="6" s="1"/>
  <c r="X13" i="18"/>
  <c r="AF11" i="18" s="1"/>
  <c r="V25" i="16"/>
  <c r="I150" i="6"/>
  <c r="I151" i="40"/>
  <c r="K150" i="40"/>
  <c r="N214" i="6"/>
  <c r="N215" i="40"/>
  <c r="L215" i="6"/>
  <c r="N7" i="6"/>
  <c r="R123" i="6"/>
  <c r="R123" i="40" s="1"/>
  <c r="L123" i="40"/>
  <c r="K24" i="16"/>
  <c r="K25" i="15"/>
  <c r="S24" i="16"/>
  <c r="S25" i="15"/>
  <c r="P155" i="40"/>
  <c r="P150" i="40" s="1"/>
  <c r="S155" i="6"/>
  <c r="P150" i="6"/>
  <c r="M219" i="40"/>
  <c r="K219" i="6"/>
  <c r="R28" i="19"/>
  <c r="L107" i="40"/>
  <c r="R107" i="6"/>
  <c r="R107" i="40" s="1"/>
  <c r="X28" i="19"/>
  <c r="J33" i="23"/>
  <c r="N15" i="6"/>
  <c r="Q157" i="6"/>
  <c r="Q157" i="40" s="1"/>
  <c r="I157" i="40"/>
  <c r="F15" i="14"/>
  <c r="R15" i="14"/>
  <c r="H7" i="9"/>
  <c r="E7" i="9"/>
  <c r="G134" i="6"/>
  <c r="G135" i="40"/>
  <c r="G134" i="40" s="1"/>
  <c r="H150" i="6"/>
  <c r="H151" i="40"/>
  <c r="H150" i="40" s="1"/>
  <c r="J150" i="6"/>
  <c r="J151" i="40"/>
  <c r="AA25" i="15"/>
  <c r="G5" i="4"/>
  <c r="AA32" i="14"/>
  <c r="E4" i="4"/>
  <c r="AA31" i="15"/>
  <c r="B190" i="4"/>
  <c r="B188" i="4"/>
  <c r="G138" i="40"/>
  <c r="M26" i="18"/>
  <c r="M95" i="6" s="1"/>
  <c r="Y13" i="18"/>
  <c r="AF13" i="18" s="1"/>
  <c r="E5" i="9"/>
  <c r="L15" i="14"/>
  <c r="X15" i="14"/>
  <c r="N134" i="40"/>
  <c r="L103" i="40"/>
  <c r="L102" i="6"/>
  <c r="R103" i="6"/>
  <c r="W28" i="19"/>
  <c r="J23" i="5"/>
  <c r="C29" i="9"/>
  <c r="J25" i="5" s="1"/>
  <c r="C25" i="9"/>
  <c r="J21" i="5" s="1"/>
  <c r="L43" i="6" s="1"/>
  <c r="L43" i="40" s="1"/>
  <c r="R13" i="18"/>
  <c r="V23" i="18"/>
  <c r="I135" i="40"/>
  <c r="I134" i="6"/>
  <c r="L26" i="14"/>
  <c r="N26" i="14" s="1"/>
  <c r="E33" i="40"/>
  <c r="H10" i="6"/>
  <c r="H138" i="40"/>
  <c r="R138" i="6"/>
  <c r="R138" i="40" s="1"/>
  <c r="Q141" i="6"/>
  <c r="Q141" i="40" s="1"/>
  <c r="I141" i="40"/>
  <c r="I13" i="6"/>
  <c r="N32" i="22"/>
  <c r="R111" i="6"/>
  <c r="R111" i="40" s="1"/>
  <c r="L111" i="40"/>
  <c r="Y28" i="19"/>
  <c r="Y24" i="34" s="1"/>
  <c r="E6" i="9"/>
  <c r="H18" i="14" s="1"/>
  <c r="M15" i="14"/>
  <c r="L134" i="40"/>
  <c r="M134" i="40"/>
  <c r="N102" i="40"/>
  <c r="O107" i="6"/>
  <c r="E35" i="19"/>
  <c r="P20" i="16"/>
  <c r="J134" i="6"/>
  <c r="J135" i="40"/>
  <c r="J134" i="40" s="1"/>
  <c r="H135" i="40"/>
  <c r="H134" i="6"/>
  <c r="H7" i="6"/>
  <c r="O139" i="40"/>
  <c r="O134" i="40" s="1"/>
  <c r="O134" i="6"/>
  <c r="E28" i="4"/>
  <c r="K119" i="6"/>
  <c r="M119" i="40"/>
  <c r="M118" i="40" s="1"/>
  <c r="M118" i="6"/>
  <c r="V26" i="15"/>
  <c r="E27" i="34"/>
  <c r="Q27" i="34"/>
  <c r="V13" i="27"/>
  <c r="AF15" i="27"/>
  <c r="L86" i="6"/>
  <c r="L87" i="40"/>
  <c r="L86" i="40" s="1"/>
  <c r="W23" i="18"/>
  <c r="R87" i="6"/>
  <c r="P91" i="40"/>
  <c r="P86" i="40" s="1"/>
  <c r="P86" i="6"/>
  <c r="S91" i="6"/>
  <c r="H26" i="14"/>
  <c r="J26" i="14" s="1"/>
  <c r="F24" i="16"/>
  <c r="F25" i="15"/>
  <c r="L119" i="6"/>
  <c r="R21" i="20" s="1"/>
  <c r="N119" i="40"/>
  <c r="N118" i="40" s="1"/>
  <c r="N118" i="6"/>
  <c r="S59" i="40"/>
  <c r="S54" i="40" s="1"/>
  <c r="S54" i="6"/>
  <c r="Z13" i="20"/>
  <c r="R157" i="6"/>
  <c r="R157" i="40" s="1"/>
  <c r="J157" i="40"/>
  <c r="Q123" i="6"/>
  <c r="Q123" i="40" s="1"/>
  <c r="F21" i="20"/>
  <c r="L21" i="20"/>
  <c r="L13" i="20" s="1"/>
  <c r="AE11" i="20" s="1"/>
  <c r="K123" i="40"/>
  <c r="E20" i="41"/>
  <c r="C31" i="34"/>
  <c r="H28" i="34"/>
  <c r="H13" i="34" s="1"/>
  <c r="AE17" i="34" s="1"/>
  <c r="G17" i="15"/>
  <c r="E24" i="6"/>
  <c r="G28" i="34"/>
  <c r="G13" i="34" s="1"/>
  <c r="AE16" i="34" s="1"/>
  <c r="H134" i="40" l="1"/>
  <c r="S91" i="40"/>
  <c r="S86" i="40" s="1"/>
  <c r="S86" i="6"/>
  <c r="W24" i="34"/>
  <c r="W13" i="18"/>
  <c r="K26" i="18"/>
  <c r="Z23" i="18"/>
  <c r="H10" i="40"/>
  <c r="AF15" i="18"/>
  <c r="V13" i="18"/>
  <c r="D25" i="5"/>
  <c r="D11" i="5" s="1"/>
  <c r="W26" i="14"/>
  <c r="W13" i="14" s="1"/>
  <c r="E190" i="4"/>
  <c r="D190" i="4"/>
  <c r="O32" i="14"/>
  <c r="O31" i="15" s="1"/>
  <c r="C32" i="14"/>
  <c r="C31" i="15" s="1"/>
  <c r="R15" i="15"/>
  <c r="F15" i="15"/>
  <c r="L31" i="19"/>
  <c r="M107" i="6" s="1"/>
  <c r="M11" i="6" s="1"/>
  <c r="M11" i="40" s="1"/>
  <c r="X13" i="19"/>
  <c r="AF11" i="19" s="1"/>
  <c r="K219" i="40"/>
  <c r="Q219" i="6"/>
  <c r="Q219" i="40" s="1"/>
  <c r="L22" i="27"/>
  <c r="L13" i="27" s="1"/>
  <c r="AE11" i="27" s="1"/>
  <c r="L215" i="40"/>
  <c r="L214" i="6"/>
  <c r="R215" i="6"/>
  <c r="W22" i="27"/>
  <c r="I150" i="40"/>
  <c r="X24" i="34"/>
  <c r="Z15" i="14"/>
  <c r="E26" i="40"/>
  <c r="D26" i="15"/>
  <c r="AE23" i="16"/>
  <c r="E24" i="16"/>
  <c r="D24" i="16"/>
  <c r="K49" i="40"/>
  <c r="Q49" i="6"/>
  <c r="Q49" i="40" s="1"/>
  <c r="Q48" i="6"/>
  <c r="Q48" i="40" s="1"/>
  <c r="K48" i="40"/>
  <c r="K41" i="40"/>
  <c r="Q41" i="6"/>
  <c r="Q41" i="40" s="1"/>
  <c r="L47" i="40"/>
  <c r="R47" i="6"/>
  <c r="R47" i="40" s="1"/>
  <c r="L45" i="40"/>
  <c r="R45" i="6"/>
  <c r="R45" i="40" s="1"/>
  <c r="Q36" i="23"/>
  <c r="E36" i="23"/>
  <c r="Q33" i="21"/>
  <c r="AB29" i="22"/>
  <c r="Q29" i="22" s="1"/>
  <c r="AB30" i="23"/>
  <c r="Q30" i="23" s="1"/>
  <c r="Q23" i="21"/>
  <c r="E23" i="21"/>
  <c r="AB19" i="22"/>
  <c r="AB21" i="23"/>
  <c r="E15" i="21"/>
  <c r="AB15" i="23"/>
  <c r="E15" i="23" s="1"/>
  <c r="AB15" i="22"/>
  <c r="E15" i="22" s="1"/>
  <c r="N38" i="40"/>
  <c r="S139" i="40"/>
  <c r="S134" i="40" s="1"/>
  <c r="S134" i="6"/>
  <c r="E24" i="40"/>
  <c r="E8" i="6"/>
  <c r="O107" i="40"/>
  <c r="O102" i="40" s="1"/>
  <c r="O102" i="6"/>
  <c r="I134" i="40"/>
  <c r="D23" i="5"/>
  <c r="D9" i="5" s="1"/>
  <c r="T26" i="14"/>
  <c r="L102" i="40"/>
  <c r="M95" i="40"/>
  <c r="K95" i="6"/>
  <c r="AB16" i="14"/>
  <c r="AB17" i="14"/>
  <c r="AB21" i="14"/>
  <c r="Q21" i="14" s="1"/>
  <c r="AB18" i="14"/>
  <c r="Q18" i="14" s="1"/>
  <c r="AB23" i="14"/>
  <c r="AB26" i="14"/>
  <c r="AA21" i="15"/>
  <c r="AB27" i="14"/>
  <c r="AB22" i="14"/>
  <c r="AB15" i="14"/>
  <c r="E15" i="14" s="1"/>
  <c r="H27" i="40"/>
  <c r="E28" i="40"/>
  <c r="I28" i="40"/>
  <c r="M28" i="40"/>
  <c r="G29" i="40"/>
  <c r="O29" i="40"/>
  <c r="E30" i="40"/>
  <c r="I30" i="40"/>
  <c r="M30" i="40"/>
  <c r="G23" i="40"/>
  <c r="N23" i="40"/>
  <c r="G24" i="40"/>
  <c r="O24" i="40"/>
  <c r="I25" i="40"/>
  <c r="M25" i="40"/>
  <c r="G26" i="40"/>
  <c r="O26" i="40"/>
  <c r="E31" i="40"/>
  <c r="I31" i="40"/>
  <c r="M31" i="40"/>
  <c r="G32" i="40"/>
  <c r="O32" i="40"/>
  <c r="I33" i="40"/>
  <c r="M33" i="40"/>
  <c r="G34" i="40"/>
  <c r="O34" i="40"/>
  <c r="F28" i="40"/>
  <c r="F32" i="40"/>
  <c r="N27" i="40"/>
  <c r="H28" i="40"/>
  <c r="H29" i="40"/>
  <c r="N29" i="40"/>
  <c r="J30" i="40"/>
  <c r="P30" i="40"/>
  <c r="S30" i="40"/>
  <c r="O23" i="40"/>
  <c r="H24" i="40"/>
  <c r="N24" i="40"/>
  <c r="J25" i="40"/>
  <c r="P25" i="40"/>
  <c r="S25" i="40"/>
  <c r="I26" i="40"/>
  <c r="P26" i="40"/>
  <c r="H31" i="40"/>
  <c r="H32" i="40"/>
  <c r="N32" i="40"/>
  <c r="J33" i="40"/>
  <c r="P33" i="40"/>
  <c r="S33" i="40"/>
  <c r="I34" i="40"/>
  <c r="P34" i="40"/>
  <c r="F29" i="40"/>
  <c r="J28" i="40"/>
  <c r="O28" i="40"/>
  <c r="P29" i="40"/>
  <c r="H30" i="40"/>
  <c r="N30" i="40"/>
  <c r="M23" i="40"/>
  <c r="M24" i="40"/>
  <c r="S24" i="40"/>
  <c r="I32" i="40"/>
  <c r="G33" i="40"/>
  <c r="O33" i="40"/>
  <c r="H34" i="40"/>
  <c r="M34" i="40"/>
  <c r="F30" i="40"/>
  <c r="F33" i="40"/>
  <c r="AB31" i="15"/>
  <c r="F5" i="4"/>
  <c r="G30" i="40"/>
  <c r="O30" i="40"/>
  <c r="H23" i="40"/>
  <c r="P23" i="40"/>
  <c r="J24" i="40"/>
  <c r="P24" i="40"/>
  <c r="H25" i="40"/>
  <c r="N25" i="40"/>
  <c r="N26" i="40"/>
  <c r="S26" i="40"/>
  <c r="N31" i="40"/>
  <c r="S31" i="40"/>
  <c r="J34" i="40"/>
  <c r="F34" i="40"/>
  <c r="G28" i="40"/>
  <c r="S28" i="40"/>
  <c r="O25" i="40"/>
  <c r="J26" i="40"/>
  <c r="G31" i="40"/>
  <c r="P32" i="40"/>
  <c r="G4" i="4"/>
  <c r="J13" i="40" s="1"/>
  <c r="C27" i="4"/>
  <c r="AB21" i="15"/>
  <c r="AB15" i="15"/>
  <c r="Q15" i="15" s="1"/>
  <c r="I24" i="40"/>
  <c r="P31" i="40"/>
  <c r="S32" i="40"/>
  <c r="M29" i="40"/>
  <c r="O31" i="40"/>
  <c r="H33" i="40"/>
  <c r="S34" i="40"/>
  <c r="G27" i="40"/>
  <c r="N28" i="40"/>
  <c r="E29" i="40"/>
  <c r="S29" i="40"/>
  <c r="S23" i="40"/>
  <c r="M26" i="40"/>
  <c r="J31" i="40"/>
  <c r="E32" i="40"/>
  <c r="N33" i="40"/>
  <c r="N34" i="40"/>
  <c r="F31" i="40"/>
  <c r="AB32" i="14"/>
  <c r="M27" i="40"/>
  <c r="P28" i="40"/>
  <c r="G25" i="40"/>
  <c r="J32" i="40"/>
  <c r="AB25" i="15"/>
  <c r="AB22" i="15"/>
  <c r="AB20" i="15"/>
  <c r="Q20" i="15" s="1"/>
  <c r="H26" i="40"/>
  <c r="M32" i="40"/>
  <c r="E34" i="40"/>
  <c r="AB16" i="15"/>
  <c r="Q16" i="15" s="1"/>
  <c r="AB17" i="15"/>
  <c r="Q17" i="15" s="1"/>
  <c r="G27" i="4"/>
  <c r="AB26" i="15"/>
  <c r="B27" i="4"/>
  <c r="F25" i="40"/>
  <c r="F24" i="40"/>
  <c r="F26" i="40"/>
  <c r="J29" i="40"/>
  <c r="D27" i="4"/>
  <c r="I29" i="40"/>
  <c r="V15" i="14"/>
  <c r="R13" i="20"/>
  <c r="V21" i="20"/>
  <c r="N214" i="40"/>
  <c r="M91" i="40"/>
  <c r="K91" i="6"/>
  <c r="P107" i="40"/>
  <c r="P102" i="40" s="1"/>
  <c r="S107" i="6"/>
  <c r="P102" i="6"/>
  <c r="F39" i="6"/>
  <c r="W15" i="16"/>
  <c r="K15" i="16"/>
  <c r="E39" i="6"/>
  <c r="L219" i="40"/>
  <c r="R219" i="6"/>
  <c r="R219" i="40" s="1"/>
  <c r="X22" i="27"/>
  <c r="X13" i="27" s="1"/>
  <c r="AF11" i="27" s="1"/>
  <c r="M215" i="40"/>
  <c r="M214" i="40" s="1"/>
  <c r="M214" i="6"/>
  <c r="K215" i="6"/>
  <c r="AF23" i="16"/>
  <c r="Q24" i="16"/>
  <c r="P24" i="16"/>
  <c r="K39" i="40"/>
  <c r="K38" i="6"/>
  <c r="Q47" i="6"/>
  <c r="Q47" i="40" s="1"/>
  <c r="K47" i="40"/>
  <c r="L39" i="6"/>
  <c r="R44" i="6"/>
  <c r="R44" i="40" s="1"/>
  <c r="L44" i="40"/>
  <c r="E17" i="9"/>
  <c r="F15" i="23" s="1"/>
  <c r="F15" i="21"/>
  <c r="Q35" i="22"/>
  <c r="E35" i="22"/>
  <c r="E32" i="21"/>
  <c r="Q32" i="21"/>
  <c r="AB28" i="22"/>
  <c r="AB29" i="23"/>
  <c r="Q36" i="21"/>
  <c r="AB33" i="23"/>
  <c r="AB32" i="22"/>
  <c r="E36" i="21"/>
  <c r="E16" i="21"/>
  <c r="AB16" i="22"/>
  <c r="Q16" i="22" s="1"/>
  <c r="AB16" i="23"/>
  <c r="Q16" i="21"/>
  <c r="Q15" i="14"/>
  <c r="P15" i="14"/>
  <c r="O13" i="14"/>
  <c r="U13" i="14"/>
  <c r="Y13" i="14"/>
  <c r="AA21" i="16"/>
  <c r="J17" i="15"/>
  <c r="E31" i="34"/>
  <c r="D31" i="34"/>
  <c r="F13" i="20"/>
  <c r="J21" i="20"/>
  <c r="J24" i="16"/>
  <c r="K21" i="20"/>
  <c r="K119" i="40"/>
  <c r="K118" i="40" s="1"/>
  <c r="K118" i="6"/>
  <c r="Q119" i="6"/>
  <c r="H7" i="40"/>
  <c r="H6" i="6"/>
  <c r="K20" i="41" s="1"/>
  <c r="M20" i="41" s="1"/>
  <c r="N20" i="41" s="1"/>
  <c r="C17" i="16"/>
  <c r="E10" i="9"/>
  <c r="M15" i="16"/>
  <c r="H17" i="16"/>
  <c r="O15" i="16"/>
  <c r="L25" i="15"/>
  <c r="N25" i="15" s="1"/>
  <c r="L24" i="16"/>
  <c r="K31" i="19"/>
  <c r="W13" i="19"/>
  <c r="Z28" i="19"/>
  <c r="F43" i="6"/>
  <c r="E43" i="6"/>
  <c r="L15" i="16"/>
  <c r="X15" i="16"/>
  <c r="Y27" i="34"/>
  <c r="Y13" i="34"/>
  <c r="AF13" i="34" s="1"/>
  <c r="E27" i="4"/>
  <c r="K27" i="6"/>
  <c r="K30" i="6"/>
  <c r="L26" i="6"/>
  <c r="L30" i="6"/>
  <c r="L34" i="6"/>
  <c r="K24" i="6"/>
  <c r="Q24" i="6" s="1"/>
  <c r="Q24" i="40" s="1"/>
  <c r="K26" i="6"/>
  <c r="K29" i="6"/>
  <c r="K34" i="6"/>
  <c r="L25" i="6"/>
  <c r="L29" i="6"/>
  <c r="L33" i="6"/>
  <c r="K28" i="6"/>
  <c r="L23" i="6"/>
  <c r="L31" i="6"/>
  <c r="K23" i="6"/>
  <c r="K25" i="6"/>
  <c r="Q25" i="6" s="1"/>
  <c r="Q25" i="40" s="1"/>
  <c r="K33" i="6"/>
  <c r="L24" i="6"/>
  <c r="L32" i="6"/>
  <c r="L28" i="6"/>
  <c r="O25" i="15"/>
  <c r="K32" i="6"/>
  <c r="K31" i="6"/>
  <c r="C25" i="15"/>
  <c r="L27" i="6"/>
  <c r="N15" i="40"/>
  <c r="S13" i="14"/>
  <c r="C30" i="16"/>
  <c r="H4" i="9"/>
  <c r="Q223" i="6"/>
  <c r="Q223" i="40" s="1"/>
  <c r="K223" i="40"/>
  <c r="M22" i="27"/>
  <c r="M13" i="27" s="1"/>
  <c r="AE13" i="27" s="1"/>
  <c r="H9" i="40"/>
  <c r="Q45" i="6"/>
  <c r="Q45" i="40" s="1"/>
  <c r="K45" i="40"/>
  <c r="K40" i="40"/>
  <c r="Q40" i="6"/>
  <c r="Q40" i="40" s="1"/>
  <c r="L42" i="40"/>
  <c r="R42" i="6"/>
  <c r="R42" i="40" s="1"/>
  <c r="R50" i="6"/>
  <c r="R50" i="40" s="1"/>
  <c r="L50" i="40"/>
  <c r="I15" i="21"/>
  <c r="Q30" i="21"/>
  <c r="AB27" i="23"/>
  <c r="Q27" i="23" s="1"/>
  <c r="AB26" i="22"/>
  <c r="Q26" i="22" s="1"/>
  <c r="Q19" i="21"/>
  <c r="AB17" i="23"/>
  <c r="Q17" i="23" s="1"/>
  <c r="Q31" i="21"/>
  <c r="E31" i="21"/>
  <c r="AB28" i="23"/>
  <c r="AB27" i="22"/>
  <c r="E25" i="21"/>
  <c r="Q25" i="21"/>
  <c r="AB22" i="23"/>
  <c r="AB21" i="22"/>
  <c r="G18" i="14"/>
  <c r="L119" i="40"/>
  <c r="L118" i="40" s="1"/>
  <c r="L118" i="6"/>
  <c r="R119" i="6"/>
  <c r="H25" i="15"/>
  <c r="H24" i="16"/>
  <c r="R87" i="40"/>
  <c r="R86" i="40" s="1"/>
  <c r="D29" i="43" s="1"/>
  <c r="R86" i="6"/>
  <c r="K32" i="41" s="1"/>
  <c r="M32" i="41" s="1"/>
  <c r="N32" i="41" s="1"/>
  <c r="M31" i="19"/>
  <c r="M111" i="6" s="1"/>
  <c r="Y13" i="19"/>
  <c r="AF13" i="19" s="1"/>
  <c r="I13" i="40"/>
  <c r="R24" i="34"/>
  <c r="D21" i="5"/>
  <c r="D7" i="5" s="1"/>
  <c r="R26" i="14"/>
  <c r="R13" i="14" s="1"/>
  <c r="X26" i="14"/>
  <c r="X13" i="14" s="1"/>
  <c r="AF11" i="14" s="1"/>
  <c r="R103" i="40"/>
  <c r="R102" i="40" s="1"/>
  <c r="D30" i="43" s="1"/>
  <c r="R102" i="6"/>
  <c r="K33" i="41" s="1"/>
  <c r="M33" i="41" s="1"/>
  <c r="N33" i="41" s="1"/>
  <c r="H5" i="9"/>
  <c r="E188" i="4"/>
  <c r="B189" i="4"/>
  <c r="D191" i="4"/>
  <c r="D192" i="4"/>
  <c r="E26" i="4"/>
  <c r="J150" i="40"/>
  <c r="F15" i="16"/>
  <c r="R15" i="16"/>
  <c r="R13" i="19"/>
  <c r="V28" i="19"/>
  <c r="S155" i="40"/>
  <c r="S150" i="40" s="1"/>
  <c r="S150" i="6"/>
  <c r="N24" i="16"/>
  <c r="N6" i="6"/>
  <c r="K23" i="41" s="1"/>
  <c r="M23" i="41" s="1"/>
  <c r="N23" i="41" s="1"/>
  <c r="N7" i="40"/>
  <c r="N15" i="14"/>
  <c r="Q26" i="15"/>
  <c r="P26" i="15"/>
  <c r="E25" i="16"/>
  <c r="L40" i="40"/>
  <c r="R40" i="6"/>
  <c r="R40" i="40" s="1"/>
  <c r="Q44" i="6"/>
  <c r="Q44" i="40" s="1"/>
  <c r="K44" i="40"/>
  <c r="L48" i="40"/>
  <c r="R48" i="6"/>
  <c r="R48" i="40" s="1"/>
  <c r="Q46" i="6"/>
  <c r="Q46" i="40" s="1"/>
  <c r="K46" i="40"/>
  <c r="R49" i="6"/>
  <c r="R49" i="40" s="1"/>
  <c r="L49" i="40"/>
  <c r="L46" i="40"/>
  <c r="R46" i="6"/>
  <c r="R46" i="40" s="1"/>
  <c r="L41" i="40"/>
  <c r="R41" i="6"/>
  <c r="R41" i="40" s="1"/>
  <c r="B16" i="9"/>
  <c r="R15" i="21" s="1"/>
  <c r="E26" i="21"/>
  <c r="Q26" i="21"/>
  <c r="AB23" i="23"/>
  <c r="AB22" i="22"/>
  <c r="Q27" i="21"/>
  <c r="E27" i="21"/>
  <c r="AB24" i="23"/>
  <c r="AB23" i="22"/>
  <c r="Q24" i="21"/>
  <c r="E24" i="21"/>
  <c r="AB20" i="22"/>
  <c r="Q20" i="21"/>
  <c r="AB18" i="23"/>
  <c r="Q18" i="23" s="1"/>
  <c r="R223" i="6"/>
  <c r="R223" i="40" s="1"/>
  <c r="L223" i="40"/>
  <c r="Y22" i="27"/>
  <c r="Y13" i="27" s="1"/>
  <c r="AF13" i="27" s="1"/>
  <c r="E25" i="40"/>
  <c r="Q16" i="16"/>
  <c r="E16" i="16"/>
  <c r="G38" i="40"/>
  <c r="H38" i="40"/>
  <c r="H8" i="40"/>
  <c r="O30" i="16" l="1"/>
  <c r="I17" i="21"/>
  <c r="I23" i="21" s="1"/>
  <c r="O12" i="14"/>
  <c r="AF13" i="14"/>
  <c r="R15" i="22"/>
  <c r="R15" i="23"/>
  <c r="V15" i="21"/>
  <c r="AF15" i="14"/>
  <c r="E20" i="22"/>
  <c r="Q20" i="22"/>
  <c r="Q23" i="23"/>
  <c r="E23" i="23"/>
  <c r="F27" i="6"/>
  <c r="E27" i="6"/>
  <c r="X15" i="15"/>
  <c r="L15" i="15"/>
  <c r="AE23" i="15"/>
  <c r="E22" i="41" s="1"/>
  <c r="E25" i="15"/>
  <c r="D25" i="15"/>
  <c r="Q28" i="6"/>
  <c r="Q28" i="40" s="1"/>
  <c r="K12" i="6"/>
  <c r="K28" i="40"/>
  <c r="L18" i="6"/>
  <c r="R34" i="6"/>
  <c r="R34" i="40" s="1"/>
  <c r="L34" i="40"/>
  <c r="Q33" i="23"/>
  <c r="E33" i="23"/>
  <c r="J15" i="21"/>
  <c r="K91" i="40"/>
  <c r="L23" i="18"/>
  <c r="Q91" i="6"/>
  <c r="Q91" i="40" s="1"/>
  <c r="C21" i="15"/>
  <c r="F13" i="15" s="1"/>
  <c r="O21" i="15"/>
  <c r="O27" i="6"/>
  <c r="D31" i="15"/>
  <c r="E31" i="15"/>
  <c r="X27" i="34"/>
  <c r="AF11" i="34"/>
  <c r="J15" i="15"/>
  <c r="W27" i="34"/>
  <c r="Z27" i="34" s="1"/>
  <c r="Z24" i="34"/>
  <c r="D6" i="5"/>
  <c r="E30" i="16"/>
  <c r="D30" i="16"/>
  <c r="O43" i="6"/>
  <c r="Q31" i="6"/>
  <c r="Q31" i="40" s="1"/>
  <c r="K31" i="40"/>
  <c r="R32" i="6"/>
  <c r="R32" i="40" s="1"/>
  <c r="L16" i="6"/>
  <c r="L32" i="40"/>
  <c r="K22" i="6"/>
  <c r="K23" i="40"/>
  <c r="R33" i="6"/>
  <c r="R33" i="40" s="1"/>
  <c r="L17" i="6"/>
  <c r="L33" i="40"/>
  <c r="K13" i="6"/>
  <c r="K29" i="40"/>
  <c r="Q29" i="6"/>
  <c r="Q29" i="40" s="1"/>
  <c r="L14" i="6"/>
  <c r="R30" i="6"/>
  <c r="R30" i="40" s="1"/>
  <c r="L30" i="40"/>
  <c r="AF12" i="19"/>
  <c r="Z13" i="19"/>
  <c r="AF20" i="16"/>
  <c r="Q15" i="16"/>
  <c r="P15" i="16"/>
  <c r="E17" i="16"/>
  <c r="D17" i="16"/>
  <c r="AE20" i="16"/>
  <c r="C18" i="14"/>
  <c r="AF18" i="14"/>
  <c r="J15" i="23"/>
  <c r="E39" i="40"/>
  <c r="AF15" i="20"/>
  <c r="V13" i="20"/>
  <c r="H22" i="40"/>
  <c r="Q26" i="14"/>
  <c r="E26" i="14"/>
  <c r="E17" i="14"/>
  <c r="Q17" i="14"/>
  <c r="Q95" i="6"/>
  <c r="Q95" i="40" s="1"/>
  <c r="K95" i="40"/>
  <c r="M23" i="18"/>
  <c r="AF12" i="14"/>
  <c r="Z13" i="14"/>
  <c r="L214" i="40"/>
  <c r="V15" i="15"/>
  <c r="L12" i="6"/>
  <c r="R28" i="6"/>
  <c r="R28" i="40" s="1"/>
  <c r="L28" i="40"/>
  <c r="K34" i="40"/>
  <c r="Q34" i="6"/>
  <c r="Q34" i="40" s="1"/>
  <c r="K18" i="6"/>
  <c r="K18" i="40" s="1"/>
  <c r="K27" i="40"/>
  <c r="Q118" i="6"/>
  <c r="D34" i="41" s="1"/>
  <c r="F34" i="41" s="1"/>
  <c r="G34" i="41" s="1"/>
  <c r="Q119" i="40"/>
  <c r="Q118" i="40" s="1"/>
  <c r="C31" i="43" s="1"/>
  <c r="M111" i="40"/>
  <c r="K111" i="6"/>
  <c r="K15" i="6" s="1"/>
  <c r="E21" i="22"/>
  <c r="Q21" i="22"/>
  <c r="Q27" i="22"/>
  <c r="E27" i="22"/>
  <c r="W15" i="15"/>
  <c r="K15" i="15"/>
  <c r="E23" i="6"/>
  <c r="F23" i="6"/>
  <c r="Q32" i="6"/>
  <c r="Q32" i="40" s="1"/>
  <c r="K16" i="6"/>
  <c r="K32" i="40"/>
  <c r="L8" i="6"/>
  <c r="L24" i="40"/>
  <c r="R24" i="6"/>
  <c r="R24" i="40" s="1"/>
  <c r="L15" i="6"/>
  <c r="R31" i="6"/>
  <c r="R31" i="40" s="1"/>
  <c r="L31" i="40"/>
  <c r="L13" i="6"/>
  <c r="L29" i="40"/>
  <c r="R29" i="6"/>
  <c r="R29" i="40" s="1"/>
  <c r="K26" i="40"/>
  <c r="K10" i="6"/>
  <c r="K10" i="40" s="1"/>
  <c r="L10" i="6"/>
  <c r="L26" i="40"/>
  <c r="R26" i="6"/>
  <c r="R26" i="40" s="1"/>
  <c r="E43" i="40"/>
  <c r="N31" i="19"/>
  <c r="M103" i="6"/>
  <c r="AE15" i="20"/>
  <c r="J13" i="20"/>
  <c r="E29" i="23"/>
  <c r="Q29" i="23"/>
  <c r="L38" i="6"/>
  <c r="L39" i="40"/>
  <c r="L38" i="40" s="1"/>
  <c r="K38" i="40"/>
  <c r="K215" i="40"/>
  <c r="K214" i="40" s="1"/>
  <c r="K214" i="6"/>
  <c r="Q215" i="6"/>
  <c r="K22" i="27"/>
  <c r="N15" i="16"/>
  <c r="S107" i="40"/>
  <c r="S102" i="40" s="1"/>
  <c r="S102" i="6"/>
  <c r="N22" i="40"/>
  <c r="E22" i="14"/>
  <c r="Q22" i="14"/>
  <c r="E23" i="14"/>
  <c r="Q23" i="14"/>
  <c r="E16" i="14"/>
  <c r="Q16" i="14"/>
  <c r="M15" i="6"/>
  <c r="M15" i="40" s="1"/>
  <c r="T25" i="15"/>
  <c r="T24" i="16"/>
  <c r="T13" i="16" s="1"/>
  <c r="T13" i="14"/>
  <c r="AF17" i="14" s="1"/>
  <c r="G11" i="40"/>
  <c r="Q21" i="23"/>
  <c r="E21" i="23"/>
  <c r="W13" i="27"/>
  <c r="Z22" i="27"/>
  <c r="E32" i="14"/>
  <c r="N26" i="18"/>
  <c r="M87" i="6"/>
  <c r="E24" i="23"/>
  <c r="Q24" i="23"/>
  <c r="V15" i="16"/>
  <c r="R24" i="16"/>
  <c r="R25" i="15"/>
  <c r="V25" i="15" s="1"/>
  <c r="V26" i="14"/>
  <c r="K9" i="6"/>
  <c r="K9" i="40" s="1"/>
  <c r="K25" i="40"/>
  <c r="E50" i="6"/>
  <c r="B10" i="9"/>
  <c r="I15" i="14" s="1"/>
  <c r="I15" i="16"/>
  <c r="E42" i="6"/>
  <c r="I17" i="16"/>
  <c r="J17" i="16" s="1"/>
  <c r="I18" i="14"/>
  <c r="J18" i="14" s="1"/>
  <c r="F39" i="40"/>
  <c r="F38" i="6"/>
  <c r="F27" i="4"/>
  <c r="F4" i="4"/>
  <c r="F26" i="4" s="1"/>
  <c r="E8" i="40"/>
  <c r="R13" i="34"/>
  <c r="V24" i="34"/>
  <c r="E23" i="22"/>
  <c r="Q23" i="22"/>
  <c r="E22" i="22"/>
  <c r="Q22" i="22"/>
  <c r="E16" i="9"/>
  <c r="H16" i="9" s="1"/>
  <c r="M15" i="21"/>
  <c r="G17" i="21"/>
  <c r="F17" i="21"/>
  <c r="O15" i="21"/>
  <c r="C17" i="21"/>
  <c r="B14" i="9"/>
  <c r="B15" i="9"/>
  <c r="H17" i="21"/>
  <c r="P43" i="6"/>
  <c r="Q30" i="16"/>
  <c r="P30" i="16"/>
  <c r="V13" i="19"/>
  <c r="AF15" i="19"/>
  <c r="X24" i="16"/>
  <c r="X13" i="16" s="1"/>
  <c r="X25" i="15"/>
  <c r="R119" i="40"/>
  <c r="R118" i="40" s="1"/>
  <c r="D31" i="43" s="1"/>
  <c r="E31" i="43" s="1"/>
  <c r="R118" i="6"/>
  <c r="K34" i="41" s="1"/>
  <c r="M34" i="41" s="1"/>
  <c r="N34" i="41" s="1"/>
  <c r="Q22" i="23"/>
  <c r="E22" i="23"/>
  <c r="Q28" i="23"/>
  <c r="E28" i="23"/>
  <c r="AF16" i="14"/>
  <c r="L11" i="6"/>
  <c r="L11" i="40" s="1"/>
  <c r="L27" i="40"/>
  <c r="AF23" i="15"/>
  <c r="L22" i="41" s="1"/>
  <c r="P25" i="15"/>
  <c r="Q25" i="15"/>
  <c r="K17" i="6"/>
  <c r="K17" i="40" s="1"/>
  <c r="K33" i="40"/>
  <c r="Q33" i="6"/>
  <c r="Q33" i="40" s="1"/>
  <c r="L7" i="6"/>
  <c r="L23" i="40"/>
  <c r="L22" i="6"/>
  <c r="L9" i="6"/>
  <c r="L25" i="40"/>
  <c r="R25" i="6"/>
  <c r="R25" i="40" s="1"/>
  <c r="K8" i="6"/>
  <c r="K8" i="40" s="1"/>
  <c r="K24" i="40"/>
  <c r="Q30" i="6"/>
  <c r="Q30" i="40" s="1"/>
  <c r="K14" i="6"/>
  <c r="K30" i="40"/>
  <c r="F43" i="40"/>
  <c r="K13" i="20"/>
  <c r="N21" i="20"/>
  <c r="C21" i="16"/>
  <c r="O21" i="16"/>
  <c r="Y13" i="16" s="1"/>
  <c r="E16" i="23"/>
  <c r="Q16" i="23"/>
  <c r="Q32" i="22"/>
  <c r="E32" i="22"/>
  <c r="E28" i="22"/>
  <c r="Q28" i="22"/>
  <c r="H17" i="9"/>
  <c r="F15" i="22" s="1"/>
  <c r="Z15" i="16"/>
  <c r="Q22" i="15"/>
  <c r="E22" i="15"/>
  <c r="G13" i="40"/>
  <c r="H14" i="40"/>
  <c r="G14" i="40"/>
  <c r="H12" i="40"/>
  <c r="G12" i="40"/>
  <c r="I14" i="40"/>
  <c r="N13" i="40"/>
  <c r="E13" i="40"/>
  <c r="I12" i="40"/>
  <c r="J12" i="40"/>
  <c r="I9" i="40"/>
  <c r="H15" i="40"/>
  <c r="H17" i="40"/>
  <c r="N17" i="40"/>
  <c r="N8" i="40"/>
  <c r="I15" i="40"/>
  <c r="J16" i="40"/>
  <c r="O17" i="40"/>
  <c r="J18" i="40"/>
  <c r="F17" i="40"/>
  <c r="J14" i="40"/>
  <c r="J8" i="40"/>
  <c r="P8" i="40"/>
  <c r="J9" i="40"/>
  <c r="I10" i="40"/>
  <c r="G15" i="40"/>
  <c r="P15" i="40"/>
  <c r="E16" i="40"/>
  <c r="O16" i="40"/>
  <c r="J17" i="40"/>
  <c r="P17" i="40"/>
  <c r="S17" i="40"/>
  <c r="O18" i="40"/>
  <c r="P13" i="40"/>
  <c r="S13" i="40"/>
  <c r="O14" i="40"/>
  <c r="P7" i="40"/>
  <c r="S7" i="40"/>
  <c r="J10" i="40"/>
  <c r="P10" i="40"/>
  <c r="I16" i="40"/>
  <c r="I18" i="40"/>
  <c r="F18" i="40"/>
  <c r="G26" i="4"/>
  <c r="I8" i="40"/>
  <c r="P12" i="40"/>
  <c r="O7" i="40"/>
  <c r="O9" i="40"/>
  <c r="G16" i="40"/>
  <c r="I17" i="40"/>
  <c r="G18" i="40"/>
  <c r="O13" i="40"/>
  <c r="J15" i="40"/>
  <c r="P18" i="40"/>
  <c r="S10" i="40"/>
  <c r="P16" i="40"/>
  <c r="O15" i="40"/>
  <c r="F16" i="40"/>
  <c r="N16" i="40"/>
  <c r="P9" i="40"/>
  <c r="H13" i="40"/>
  <c r="F12" i="40"/>
  <c r="S15" i="40"/>
  <c r="O8" i="40"/>
  <c r="S12" i="40"/>
  <c r="O10" i="40"/>
  <c r="H18" i="40"/>
  <c r="O12" i="40"/>
  <c r="H16" i="40"/>
  <c r="F14" i="40"/>
  <c r="S8" i="40"/>
  <c r="E12" i="40"/>
  <c r="E14" i="40"/>
  <c r="G17" i="40"/>
  <c r="P14" i="40"/>
  <c r="N12" i="40"/>
  <c r="S14" i="40"/>
  <c r="S16" i="40"/>
  <c r="F13" i="40"/>
  <c r="S18" i="40"/>
  <c r="S9" i="40"/>
  <c r="M14" i="40"/>
  <c r="F15" i="40"/>
  <c r="N9" i="40"/>
  <c r="B26" i="4"/>
  <c r="M12" i="40"/>
  <c r="M9" i="40"/>
  <c r="M13" i="40"/>
  <c r="N10" i="40"/>
  <c r="M18" i="40"/>
  <c r="M17" i="40"/>
  <c r="N14" i="40"/>
  <c r="F8" i="40"/>
  <c r="M10" i="40"/>
  <c r="F9" i="40"/>
  <c r="N18" i="40"/>
  <c r="E15" i="40"/>
  <c r="M16" i="40"/>
  <c r="F10" i="40"/>
  <c r="D26" i="4"/>
  <c r="M8" i="40"/>
  <c r="N11" i="40"/>
  <c r="C26" i="4"/>
  <c r="M22" i="40"/>
  <c r="G22" i="40"/>
  <c r="E27" i="14"/>
  <c r="Q27" i="14"/>
  <c r="P27" i="6"/>
  <c r="P31" i="15"/>
  <c r="Q31" i="15"/>
  <c r="E19" i="22"/>
  <c r="Q19" i="22"/>
  <c r="Q26" i="6"/>
  <c r="Q26" i="40" s="1"/>
  <c r="H11" i="40"/>
  <c r="R215" i="40"/>
  <c r="R214" i="40" s="1"/>
  <c r="D37" i="43" s="1"/>
  <c r="R214" i="6"/>
  <c r="K40" i="41" s="1"/>
  <c r="M40" i="41" s="1"/>
  <c r="N40" i="41" s="1"/>
  <c r="M107" i="40"/>
  <c r="K107" i="6"/>
  <c r="Q32" i="14"/>
  <c r="W25" i="15"/>
  <c r="Z25" i="15" s="1"/>
  <c r="W24" i="16"/>
  <c r="Z24" i="16" s="1"/>
  <c r="Z26" i="14"/>
  <c r="AF12" i="18"/>
  <c r="Z13" i="18"/>
  <c r="J25" i="15"/>
  <c r="L13" i="15" l="1"/>
  <c r="H6" i="40"/>
  <c r="D18" i="43" s="1"/>
  <c r="AF13" i="16"/>
  <c r="O13" i="16"/>
  <c r="L29" i="41" s="1"/>
  <c r="O12" i="16"/>
  <c r="N6" i="40"/>
  <c r="D21" i="43" s="1"/>
  <c r="L22" i="40"/>
  <c r="F38" i="40"/>
  <c r="V24" i="16"/>
  <c r="Q12" i="14"/>
  <c r="K107" i="40"/>
  <c r="Q107" i="6"/>
  <c r="Q107" i="40" s="1"/>
  <c r="L28" i="19"/>
  <c r="I43" i="6"/>
  <c r="I39" i="6"/>
  <c r="AE22" i="16"/>
  <c r="E21" i="16"/>
  <c r="E13" i="16" s="1"/>
  <c r="G13" i="16"/>
  <c r="M13" i="16"/>
  <c r="P43" i="40"/>
  <c r="P38" i="40" s="1"/>
  <c r="S43" i="6"/>
  <c r="P38" i="6"/>
  <c r="E146" i="6"/>
  <c r="E18" i="6" s="1"/>
  <c r="M15" i="22"/>
  <c r="C18" i="21"/>
  <c r="AF12" i="27"/>
  <c r="Z13" i="27"/>
  <c r="K11" i="6"/>
  <c r="K11" i="40" s="1"/>
  <c r="E18" i="14"/>
  <c r="E13" i="14" s="1"/>
  <c r="D18" i="14"/>
  <c r="C12" i="14"/>
  <c r="C13" i="14"/>
  <c r="H13" i="14"/>
  <c r="AE17" i="14" s="1"/>
  <c r="K13" i="14"/>
  <c r="F13" i="14"/>
  <c r="M13" i="14"/>
  <c r="AE13" i="14" s="1"/>
  <c r="L13" i="14"/>
  <c r="AE11" i="14" s="1"/>
  <c r="AE15" i="15"/>
  <c r="H23" i="21"/>
  <c r="H13" i="21" s="1"/>
  <c r="S13" i="21"/>
  <c r="T13" i="21"/>
  <c r="Y13" i="21"/>
  <c r="U13" i="21"/>
  <c r="P15" i="21"/>
  <c r="Q15" i="21"/>
  <c r="O15" i="22"/>
  <c r="O15" i="23"/>
  <c r="R13" i="23" s="1"/>
  <c r="AF15" i="34"/>
  <c r="V13" i="34"/>
  <c r="I13" i="16"/>
  <c r="F23" i="40"/>
  <c r="F22" i="6"/>
  <c r="R13" i="15"/>
  <c r="K13" i="40"/>
  <c r="Q13" i="6"/>
  <c r="Q13" i="40" s="1"/>
  <c r="K22" i="40"/>
  <c r="X13" i="15"/>
  <c r="V15" i="23"/>
  <c r="AE12" i="20"/>
  <c r="N13" i="20"/>
  <c r="L9" i="40"/>
  <c r="R9" i="6"/>
  <c r="X15" i="21"/>
  <c r="E15" i="9"/>
  <c r="H15" i="9" s="1"/>
  <c r="L15" i="21"/>
  <c r="L13" i="21" s="1"/>
  <c r="F23" i="21"/>
  <c r="J17" i="21"/>
  <c r="C19" i="21"/>
  <c r="M15" i="23"/>
  <c r="E161" i="6"/>
  <c r="C20" i="21"/>
  <c r="F20" i="21"/>
  <c r="I19" i="21"/>
  <c r="I20" i="21"/>
  <c r="I18" i="23" s="1"/>
  <c r="G20" i="21"/>
  <c r="G18" i="23" s="1"/>
  <c r="H19" i="21"/>
  <c r="H20" i="21"/>
  <c r="H18" i="23" s="1"/>
  <c r="I13" i="14"/>
  <c r="AE18" i="14" s="1"/>
  <c r="J15" i="14"/>
  <c r="S13" i="16"/>
  <c r="AF16" i="16" s="1"/>
  <c r="T13" i="15"/>
  <c r="K13" i="16"/>
  <c r="H13" i="16"/>
  <c r="L10" i="40"/>
  <c r="R10" i="6"/>
  <c r="L15" i="40"/>
  <c r="R15" i="6"/>
  <c r="E23" i="40"/>
  <c r="E22" i="6"/>
  <c r="G13" i="14"/>
  <c r="AE16" i="14" s="1"/>
  <c r="L12" i="40"/>
  <c r="R12" i="6"/>
  <c r="R12" i="40" s="1"/>
  <c r="E12" i="14"/>
  <c r="Q13" i="14"/>
  <c r="L14" i="40"/>
  <c r="R14" i="6"/>
  <c r="R14" i="40" s="1"/>
  <c r="O43" i="40"/>
  <c r="O38" i="40" s="1"/>
  <c r="O38" i="6"/>
  <c r="F13" i="16"/>
  <c r="E27" i="40"/>
  <c r="R13" i="22"/>
  <c r="V15" i="22"/>
  <c r="S27" i="6"/>
  <c r="P22" i="6"/>
  <c r="P27" i="40"/>
  <c r="P22" i="40" s="1"/>
  <c r="P11" i="6"/>
  <c r="J15" i="22"/>
  <c r="K14" i="40"/>
  <c r="Q14" i="6"/>
  <c r="Q14" i="40" s="1"/>
  <c r="E17" i="21"/>
  <c r="D17" i="21"/>
  <c r="E42" i="40"/>
  <c r="E38" i="40" s="1"/>
  <c r="Q42" i="6"/>
  <c r="Q42" i="40" s="1"/>
  <c r="Q214" i="6"/>
  <c r="D40" i="41" s="1"/>
  <c r="F40" i="41" s="1"/>
  <c r="G40" i="41" s="1"/>
  <c r="Q215" i="40"/>
  <c r="Q214" i="40" s="1"/>
  <c r="C37" i="43" s="1"/>
  <c r="E37" i="43" s="1"/>
  <c r="M102" i="6"/>
  <c r="M103" i="40"/>
  <c r="M102" i="40" s="1"/>
  <c r="K103" i="6"/>
  <c r="W13" i="15"/>
  <c r="Z15" i="15"/>
  <c r="K15" i="40"/>
  <c r="Q15" i="6"/>
  <c r="Q21" i="15"/>
  <c r="J27" i="6"/>
  <c r="U13" i="15"/>
  <c r="O12" i="15"/>
  <c r="O13" i="15"/>
  <c r="L28" i="41" s="1"/>
  <c r="AF22" i="15"/>
  <c r="J23" i="6"/>
  <c r="R23" i="6" s="1"/>
  <c r="Y13" i="15"/>
  <c r="S13" i="15"/>
  <c r="AF16" i="15" s="1"/>
  <c r="V13" i="14"/>
  <c r="L7" i="40"/>
  <c r="L6" i="6"/>
  <c r="K22" i="41" s="1"/>
  <c r="M22" i="41" s="1"/>
  <c r="N22" i="41" s="1"/>
  <c r="M13" i="21"/>
  <c r="AF17" i="16"/>
  <c r="L8" i="40"/>
  <c r="R8" i="6"/>
  <c r="E38" i="6"/>
  <c r="C13" i="16"/>
  <c r="E29" i="41" s="1"/>
  <c r="L16" i="40"/>
  <c r="R16" i="6"/>
  <c r="R16" i="40" s="1"/>
  <c r="AF12" i="34"/>
  <c r="Z13" i="34"/>
  <c r="I23" i="6"/>
  <c r="AE22" i="15"/>
  <c r="I27" i="6"/>
  <c r="E21" i="15"/>
  <c r="M13" i="15"/>
  <c r="C13" i="15"/>
  <c r="E28" i="41" s="1"/>
  <c r="C12" i="15"/>
  <c r="G13" i="15"/>
  <c r="AE16" i="15" s="1"/>
  <c r="I13" i="15"/>
  <c r="L18" i="40"/>
  <c r="R18" i="6"/>
  <c r="R18" i="40" s="1"/>
  <c r="W13" i="16"/>
  <c r="Q21" i="16"/>
  <c r="Q12" i="16" s="1"/>
  <c r="J39" i="6"/>
  <c r="J43" i="6"/>
  <c r="AF22" i="16"/>
  <c r="I13" i="21"/>
  <c r="AE18" i="21" s="1"/>
  <c r="K15" i="21"/>
  <c r="E14" i="9"/>
  <c r="W15" i="21"/>
  <c r="H14" i="9"/>
  <c r="G23" i="21"/>
  <c r="G13" i="21"/>
  <c r="H13" i="15"/>
  <c r="AE17" i="15" s="1"/>
  <c r="Q50" i="6"/>
  <c r="Q50" i="40" s="1"/>
  <c r="E50" i="40"/>
  <c r="R13" i="16"/>
  <c r="M7" i="6"/>
  <c r="M86" i="6"/>
  <c r="M87" i="40"/>
  <c r="M86" i="40" s="1"/>
  <c r="K87" i="6"/>
  <c r="K13" i="27"/>
  <c r="N22" i="27"/>
  <c r="L13" i="40"/>
  <c r="R13" i="6"/>
  <c r="R13" i="40" s="1"/>
  <c r="K16" i="40"/>
  <c r="Q16" i="6"/>
  <c r="Q16" i="40" s="1"/>
  <c r="K13" i="15"/>
  <c r="N15" i="15"/>
  <c r="Q111" i="6"/>
  <c r="Q111" i="40" s="1"/>
  <c r="K111" i="40"/>
  <c r="M28" i="19"/>
  <c r="M27" i="18"/>
  <c r="M13" i="18"/>
  <c r="AE13" i="18" s="1"/>
  <c r="C12" i="16"/>
  <c r="U13" i="16"/>
  <c r="AF18" i="16" s="1"/>
  <c r="L13" i="16"/>
  <c r="L17" i="40"/>
  <c r="R17" i="6"/>
  <c r="R17" i="40" s="1"/>
  <c r="J15" i="16"/>
  <c r="O27" i="40"/>
  <c r="O22" i="40" s="1"/>
  <c r="O11" i="6"/>
  <c r="O22" i="6"/>
  <c r="L27" i="18"/>
  <c r="L13" i="18" s="1"/>
  <c r="AE11" i="18" s="1"/>
  <c r="F13" i="21"/>
  <c r="K12" i="40"/>
  <c r="Q12" i="6"/>
  <c r="Q12" i="40" s="1"/>
  <c r="F27" i="40"/>
  <c r="R13" i="21"/>
  <c r="L21" i="41" l="1"/>
  <c r="AF11" i="16"/>
  <c r="R23" i="40"/>
  <c r="AE15" i="21"/>
  <c r="J13" i="21"/>
  <c r="AE15" i="16"/>
  <c r="J13" i="16"/>
  <c r="C17" i="23"/>
  <c r="M13" i="23" s="1"/>
  <c r="G21" i="23"/>
  <c r="G152" i="6" s="1"/>
  <c r="D19" i="21"/>
  <c r="F21" i="23"/>
  <c r="E19" i="21"/>
  <c r="K13" i="41"/>
  <c r="R9" i="40"/>
  <c r="D12" i="43" s="1"/>
  <c r="AE17" i="21"/>
  <c r="J13" i="15"/>
  <c r="L32" i="19"/>
  <c r="L13" i="19" s="1"/>
  <c r="AE11" i="19" s="1"/>
  <c r="E12" i="16"/>
  <c r="K87" i="40"/>
  <c r="K86" i="40" s="1"/>
  <c r="K86" i="6"/>
  <c r="K23" i="18"/>
  <c r="Q87" i="6"/>
  <c r="K7" i="6"/>
  <c r="F23" i="18"/>
  <c r="AF15" i="16"/>
  <c r="V13" i="16"/>
  <c r="AF12" i="16"/>
  <c r="Z13" i="16"/>
  <c r="AE13" i="21"/>
  <c r="Q12" i="15"/>
  <c r="Q13" i="15"/>
  <c r="AE17" i="16"/>
  <c r="C18" i="23"/>
  <c r="E20" i="21"/>
  <c r="D20" i="21"/>
  <c r="AE18" i="16"/>
  <c r="AF17" i="21"/>
  <c r="AE12" i="15"/>
  <c r="N13" i="15"/>
  <c r="E18" i="40"/>
  <c r="Q18" i="6"/>
  <c r="Q18" i="40" s="1"/>
  <c r="AE16" i="21"/>
  <c r="F151" i="6"/>
  <c r="E151" i="6"/>
  <c r="K15" i="23"/>
  <c r="J43" i="40"/>
  <c r="R43" i="6"/>
  <c r="R43" i="40" s="1"/>
  <c r="E21" i="41"/>
  <c r="K12" i="41"/>
  <c r="R8" i="40"/>
  <c r="D11" i="43" s="1"/>
  <c r="AF13" i="15"/>
  <c r="Q15" i="40"/>
  <c r="K103" i="40"/>
  <c r="K102" i="40" s="1"/>
  <c r="K102" i="6"/>
  <c r="Q103" i="6"/>
  <c r="K28" i="19"/>
  <c r="S22" i="6"/>
  <c r="S27" i="40"/>
  <c r="S22" i="40" s="1"/>
  <c r="Q13" i="16"/>
  <c r="E22" i="40"/>
  <c r="AE12" i="16"/>
  <c r="N13" i="16"/>
  <c r="E153" i="6"/>
  <c r="E161" i="40"/>
  <c r="Q161" i="6"/>
  <c r="Q161" i="40" s="1"/>
  <c r="E17" i="6"/>
  <c r="J23" i="21"/>
  <c r="X15" i="23"/>
  <c r="X13" i="23" s="1"/>
  <c r="X15" i="22"/>
  <c r="X13" i="22" s="1"/>
  <c r="AF18" i="21"/>
  <c r="AF16" i="21"/>
  <c r="Q146" i="6"/>
  <c r="Q146" i="40" s="1"/>
  <c r="E146" i="40"/>
  <c r="E138" i="6"/>
  <c r="AE13" i="16"/>
  <c r="I39" i="40"/>
  <c r="I38" i="6"/>
  <c r="Q39" i="6"/>
  <c r="AE12" i="27"/>
  <c r="N13" i="27"/>
  <c r="M7" i="40"/>
  <c r="M6" i="40" s="1"/>
  <c r="C21" i="43" s="1"/>
  <c r="M6" i="6"/>
  <c r="E135" i="6"/>
  <c r="F135" i="6"/>
  <c r="K15" i="22"/>
  <c r="E12" i="15"/>
  <c r="E13" i="15"/>
  <c r="J11" i="6"/>
  <c r="J11" i="40" s="1"/>
  <c r="J27" i="40"/>
  <c r="H17" i="23"/>
  <c r="J19" i="21"/>
  <c r="H21" i="23"/>
  <c r="G153" i="6" s="1"/>
  <c r="F18" i="23"/>
  <c r="J20" i="21"/>
  <c r="E139" i="6"/>
  <c r="F139" i="6"/>
  <c r="L15" i="22"/>
  <c r="AF15" i="15"/>
  <c r="V13" i="15"/>
  <c r="O13" i="23"/>
  <c r="L36" i="41" s="1"/>
  <c r="AF20" i="23"/>
  <c r="P15" i="23"/>
  <c r="Q15" i="23"/>
  <c r="O12" i="23"/>
  <c r="U13" i="23"/>
  <c r="T13" i="23"/>
  <c r="S13" i="23"/>
  <c r="Y13" i="23"/>
  <c r="AF13" i="23" s="1"/>
  <c r="AE15" i="14"/>
  <c r="J13" i="14"/>
  <c r="C16" i="22"/>
  <c r="E18" i="21"/>
  <c r="D18" i="21"/>
  <c r="S43" i="40"/>
  <c r="S38" i="40" s="1"/>
  <c r="S38" i="6"/>
  <c r="O11" i="40"/>
  <c r="O6" i="40" s="1"/>
  <c r="O6" i="6"/>
  <c r="W15" i="23"/>
  <c r="W15" i="22"/>
  <c r="Z15" i="21"/>
  <c r="I11" i="6"/>
  <c r="I11" i="40" s="1"/>
  <c r="I27" i="40"/>
  <c r="Z13" i="15"/>
  <c r="AF12" i="15"/>
  <c r="K6" i="41"/>
  <c r="R15" i="40"/>
  <c r="D6" i="43" s="1"/>
  <c r="E155" i="6"/>
  <c r="L15" i="23"/>
  <c r="F155" i="6"/>
  <c r="AF20" i="22"/>
  <c r="O13" i="22"/>
  <c r="L35" i="41" s="1"/>
  <c r="O12" i="22"/>
  <c r="P15" i="22"/>
  <c r="Q15" i="22"/>
  <c r="U13" i="22"/>
  <c r="AF18" i="22" s="1"/>
  <c r="T13" i="22"/>
  <c r="Y13" i="22"/>
  <c r="S13" i="22"/>
  <c r="W13" i="21"/>
  <c r="AE12" i="14"/>
  <c r="N13" i="14"/>
  <c r="AF15" i="21"/>
  <c r="V13" i="21"/>
  <c r="AE11" i="16"/>
  <c r="M32" i="19"/>
  <c r="M13" i="19" s="1"/>
  <c r="AE13" i="19" s="1"/>
  <c r="R27" i="6"/>
  <c r="R27" i="40" s="1"/>
  <c r="L24" i="34"/>
  <c r="M24" i="34"/>
  <c r="N15" i="21"/>
  <c r="K13" i="21"/>
  <c r="J39" i="40"/>
  <c r="J38" i="40" s="1"/>
  <c r="J38" i="6"/>
  <c r="R39" i="6"/>
  <c r="AE18" i="15"/>
  <c r="AE13" i="15"/>
  <c r="I7" i="6"/>
  <c r="I23" i="40"/>
  <c r="I22" i="40" s="1"/>
  <c r="I22" i="6"/>
  <c r="L6" i="40"/>
  <c r="D20" i="43" s="1"/>
  <c r="J7" i="6"/>
  <c r="J22" i="6"/>
  <c r="J23" i="40"/>
  <c r="J22" i="40" s="1"/>
  <c r="AF18" i="15"/>
  <c r="S11" i="6"/>
  <c r="P11" i="40"/>
  <c r="P6" i="40" s="1"/>
  <c r="P6" i="6"/>
  <c r="Q27" i="6"/>
  <c r="Q27" i="40" s="1"/>
  <c r="Q23" i="6"/>
  <c r="K14" i="41"/>
  <c r="R10" i="40"/>
  <c r="D13" i="43" s="1"/>
  <c r="AF17" i="15"/>
  <c r="I17" i="23"/>
  <c r="I21" i="23"/>
  <c r="G154" i="6" s="1"/>
  <c r="AE11" i="21"/>
  <c r="AF11" i="15"/>
  <c r="F22" i="40"/>
  <c r="AF13" i="21"/>
  <c r="X13" i="21"/>
  <c r="AF11" i="21" s="1"/>
  <c r="AE11" i="15"/>
  <c r="AE16" i="16"/>
  <c r="I43" i="40"/>
  <c r="Q43" i="6"/>
  <c r="Q43" i="40" s="1"/>
  <c r="F28" i="19"/>
  <c r="L46" i="41" l="1"/>
  <c r="L19" i="41"/>
  <c r="L25" i="41" s="1"/>
  <c r="L13" i="22"/>
  <c r="G13" i="23"/>
  <c r="AE12" i="21"/>
  <c r="N13" i="21"/>
  <c r="W13" i="22"/>
  <c r="Z15" i="22"/>
  <c r="D16" i="22"/>
  <c r="E16" i="22"/>
  <c r="C12" i="22"/>
  <c r="C13" i="22"/>
  <c r="E35" i="41" s="1"/>
  <c r="AE20" i="22"/>
  <c r="I13" i="22"/>
  <c r="G13" i="22"/>
  <c r="H13" i="22"/>
  <c r="AE17" i="22" s="1"/>
  <c r="F13" i="22"/>
  <c r="AF16" i="23"/>
  <c r="Q12" i="23"/>
  <c r="Q13" i="23"/>
  <c r="Q139" i="6"/>
  <c r="Q139" i="40" s="1"/>
  <c r="E139" i="40"/>
  <c r="E11" i="6"/>
  <c r="AF15" i="22"/>
  <c r="D23" i="41"/>
  <c r="C25" i="38"/>
  <c r="Q39" i="40"/>
  <c r="Q38" i="40" s="1"/>
  <c r="C26" i="43" s="1"/>
  <c r="Q38" i="6"/>
  <c r="D29" i="41" s="1"/>
  <c r="F29" i="41" s="1"/>
  <c r="G29" i="41" s="1"/>
  <c r="E138" i="40"/>
  <c r="Q138" i="6"/>
  <c r="Q138" i="40" s="1"/>
  <c r="E10" i="6"/>
  <c r="Q17" i="6"/>
  <c r="E17" i="40"/>
  <c r="R151" i="6"/>
  <c r="F150" i="6"/>
  <c r="F151" i="40"/>
  <c r="K27" i="18"/>
  <c r="N27" i="18" s="1"/>
  <c r="K24" i="34"/>
  <c r="K13" i="18"/>
  <c r="N23" i="18"/>
  <c r="R22" i="6"/>
  <c r="K28" i="41" s="1"/>
  <c r="R139" i="6"/>
  <c r="R139" i="40" s="1"/>
  <c r="F139" i="40"/>
  <c r="F11" i="6"/>
  <c r="V13" i="22"/>
  <c r="Q135" i="6"/>
  <c r="E134" i="6"/>
  <c r="E135" i="40"/>
  <c r="E7" i="6"/>
  <c r="Q153" i="6"/>
  <c r="Q153" i="40" s="1"/>
  <c r="E153" i="40"/>
  <c r="E9" i="6"/>
  <c r="E150" i="6"/>
  <c r="E151" i="40"/>
  <c r="J21" i="23"/>
  <c r="G151" i="6"/>
  <c r="Q151" i="6" s="1"/>
  <c r="F32" i="19"/>
  <c r="J32" i="19" s="1"/>
  <c r="J28" i="19"/>
  <c r="G154" i="40"/>
  <c r="Q154" i="6"/>
  <c r="Q154" i="40" s="1"/>
  <c r="G10" i="6"/>
  <c r="G10" i="40" s="1"/>
  <c r="AF16" i="22"/>
  <c r="L12" i="41" s="1"/>
  <c r="M12" i="41" s="1"/>
  <c r="N12" i="41" s="1"/>
  <c r="Q13" i="22"/>
  <c r="Q12" i="22"/>
  <c r="I13" i="23"/>
  <c r="Q23" i="40"/>
  <c r="Q22" i="40" s="1"/>
  <c r="C25" i="43" s="1"/>
  <c r="Q22" i="6"/>
  <c r="D28" i="41" s="1"/>
  <c r="S11" i="40"/>
  <c r="S6" i="40" s="1"/>
  <c r="S6" i="6"/>
  <c r="J6" i="6"/>
  <c r="K21" i="41" s="1"/>
  <c r="M21" i="41" s="1"/>
  <c r="N21" i="41" s="1"/>
  <c r="J7" i="40"/>
  <c r="J6" i="40" s="1"/>
  <c r="D19" i="43" s="1"/>
  <c r="I7" i="40"/>
  <c r="I6" i="40" s="1"/>
  <c r="C19" i="43" s="1"/>
  <c r="I6" i="6"/>
  <c r="D21" i="41" s="1"/>
  <c r="F21" i="41" s="1"/>
  <c r="G21" i="41" s="1"/>
  <c r="M27" i="34"/>
  <c r="M28" i="34"/>
  <c r="AF13" i="22"/>
  <c r="L6" i="41" s="1"/>
  <c r="M6" i="41" s="1"/>
  <c r="N6" i="41" s="1"/>
  <c r="R155" i="6"/>
  <c r="R155" i="40" s="1"/>
  <c r="F155" i="40"/>
  <c r="W13" i="23"/>
  <c r="Z15" i="23"/>
  <c r="AF17" i="23"/>
  <c r="J17" i="23"/>
  <c r="H13" i="23"/>
  <c r="K13" i="22"/>
  <c r="N15" i="22"/>
  <c r="AF11" i="22"/>
  <c r="K13" i="19"/>
  <c r="N28" i="19"/>
  <c r="K32" i="19"/>
  <c r="N32" i="19" s="1"/>
  <c r="F24" i="34"/>
  <c r="J23" i="18"/>
  <c r="F27" i="18"/>
  <c r="J27" i="18" s="1"/>
  <c r="G8" i="6"/>
  <c r="G152" i="40"/>
  <c r="Q152" i="6"/>
  <c r="Q152" i="40" s="1"/>
  <c r="AF15" i="23"/>
  <c r="L11" i="41" s="1"/>
  <c r="AF12" i="21"/>
  <c r="Z13" i="21"/>
  <c r="Q155" i="6"/>
  <c r="Q155" i="40" s="1"/>
  <c r="E155" i="40"/>
  <c r="G9" i="6"/>
  <c r="G9" i="40" s="1"/>
  <c r="G153" i="40"/>
  <c r="E18" i="23"/>
  <c r="D18" i="23"/>
  <c r="Q87" i="40"/>
  <c r="Q86" i="40" s="1"/>
  <c r="C29" i="43" s="1"/>
  <c r="E29" i="43" s="1"/>
  <c r="Q86" i="6"/>
  <c r="D32" i="41" s="1"/>
  <c r="F32" i="41" s="1"/>
  <c r="G32" i="41" s="1"/>
  <c r="R22" i="40"/>
  <c r="D25" i="43" s="1"/>
  <c r="R39" i="40"/>
  <c r="R38" i="40" s="1"/>
  <c r="D26" i="43" s="1"/>
  <c r="E26" i="43" s="1"/>
  <c r="R38" i="6"/>
  <c r="K29" i="41" s="1"/>
  <c r="M29" i="41" s="1"/>
  <c r="N29" i="41" s="1"/>
  <c r="L27" i="34"/>
  <c r="L13" i="34" s="1"/>
  <c r="AE11" i="34" s="1"/>
  <c r="L28" i="34"/>
  <c r="AF17" i="22"/>
  <c r="L13" i="41" s="1"/>
  <c r="M13" i="41" s="1"/>
  <c r="N13" i="41" s="1"/>
  <c r="L13" i="23"/>
  <c r="AF18" i="23"/>
  <c r="L14" i="41" s="1"/>
  <c r="M14" i="41" s="1"/>
  <c r="N14" i="41" s="1"/>
  <c r="AE11" i="22"/>
  <c r="J18" i="23"/>
  <c r="F13" i="23"/>
  <c r="R135" i="6"/>
  <c r="F135" i="40"/>
  <c r="F134" i="40" s="1"/>
  <c r="F134" i="6"/>
  <c r="F7" i="6"/>
  <c r="I38" i="40"/>
  <c r="AF11" i="23"/>
  <c r="L5" i="41" s="1"/>
  <c r="Q103" i="40"/>
  <c r="Q102" i="40" s="1"/>
  <c r="C30" i="43" s="1"/>
  <c r="E30" i="43" s="1"/>
  <c r="Q102" i="6"/>
  <c r="D33" i="41" s="1"/>
  <c r="F33" i="41" s="1"/>
  <c r="G33" i="41" s="1"/>
  <c r="K13" i="23"/>
  <c r="N15" i="23"/>
  <c r="M13" i="22"/>
  <c r="K7" i="40"/>
  <c r="K6" i="40" s="1"/>
  <c r="C20" i="43" s="1"/>
  <c r="E20" i="43" s="1"/>
  <c r="K6" i="6"/>
  <c r="D17" i="23"/>
  <c r="E17" i="23"/>
  <c r="C13" i="23"/>
  <c r="E36" i="41" s="1"/>
  <c r="AE20" i="23"/>
  <c r="C12" i="23"/>
  <c r="V13" i="23"/>
  <c r="L16" i="41" l="1"/>
  <c r="E19" i="43"/>
  <c r="AE16" i="22"/>
  <c r="M13" i="34"/>
  <c r="AE13" i="34" s="1"/>
  <c r="AE13" i="22"/>
  <c r="E19" i="41"/>
  <c r="E25" i="41" s="1"/>
  <c r="Q151" i="40"/>
  <c r="Q150" i="40" s="1"/>
  <c r="C33" i="43" s="1"/>
  <c r="Q150" i="6"/>
  <c r="D36" i="41" s="1"/>
  <c r="F36" i="41" s="1"/>
  <c r="G36" i="41" s="1"/>
  <c r="E6" i="41"/>
  <c r="E7" i="40"/>
  <c r="E6" i="6"/>
  <c r="D19" i="41" s="1"/>
  <c r="AE13" i="23"/>
  <c r="N13" i="18"/>
  <c r="AE12" i="18"/>
  <c r="Q17" i="40"/>
  <c r="C6" i="43" s="1"/>
  <c r="E6" i="43" s="1"/>
  <c r="D6" i="41"/>
  <c r="E46" i="41"/>
  <c r="AE16" i="23"/>
  <c r="F28" i="34"/>
  <c r="J28" i="34" s="1"/>
  <c r="J24" i="34"/>
  <c r="F28" i="41"/>
  <c r="G28" i="41" s="1"/>
  <c r="E13" i="23"/>
  <c r="E12" i="23"/>
  <c r="AE15" i="23"/>
  <c r="J13" i="23"/>
  <c r="N13" i="22"/>
  <c r="AE12" i="22"/>
  <c r="G150" i="6"/>
  <c r="G151" i="40"/>
  <c r="G150" i="40" s="1"/>
  <c r="G7" i="6"/>
  <c r="AE17" i="23"/>
  <c r="E13" i="41" s="1"/>
  <c r="Z13" i="23"/>
  <c r="AF12" i="23"/>
  <c r="AE18" i="23"/>
  <c r="Q9" i="6"/>
  <c r="E9" i="40"/>
  <c r="E134" i="40"/>
  <c r="F11" i="40"/>
  <c r="R11" i="6"/>
  <c r="M28" i="41"/>
  <c r="N28" i="41" s="1"/>
  <c r="K27" i="34"/>
  <c r="N27" i="34" s="1"/>
  <c r="K28" i="34"/>
  <c r="N28" i="34" s="1"/>
  <c r="N24" i="34"/>
  <c r="R151" i="40"/>
  <c r="R150" i="40" s="1"/>
  <c r="D33" i="43" s="1"/>
  <c r="E33" i="43" s="1"/>
  <c r="R150" i="6"/>
  <c r="K36" i="41" s="1"/>
  <c r="M36" i="41" s="1"/>
  <c r="N36" i="41" s="1"/>
  <c r="E10" i="40"/>
  <c r="Q10" i="6"/>
  <c r="Q11" i="6"/>
  <c r="E11" i="40"/>
  <c r="Z13" i="22"/>
  <c r="AF12" i="22"/>
  <c r="L4" i="41" s="1"/>
  <c r="L8" i="41" s="1"/>
  <c r="R135" i="40"/>
  <c r="R134" i="40" s="1"/>
  <c r="D32" i="43" s="1"/>
  <c r="E32" i="43" s="1"/>
  <c r="R134" i="6"/>
  <c r="K35" i="41" s="1"/>
  <c r="M35" i="41" s="1"/>
  <c r="N35" i="41" s="1"/>
  <c r="Q134" i="6"/>
  <c r="D35" i="41" s="1"/>
  <c r="F35" i="41" s="1"/>
  <c r="G35" i="41" s="1"/>
  <c r="Q135" i="40"/>
  <c r="Q134" i="40" s="1"/>
  <c r="C32" i="43" s="1"/>
  <c r="C42" i="43" s="1"/>
  <c r="F150" i="40"/>
  <c r="AE15" i="22"/>
  <c r="J13" i="22"/>
  <c r="F7" i="40"/>
  <c r="F6" i="6"/>
  <c r="K19" i="41" s="1"/>
  <c r="R7" i="6"/>
  <c r="AE12" i="19"/>
  <c r="N13" i="19"/>
  <c r="E25" i="43"/>
  <c r="E42" i="43" s="1"/>
  <c r="D22" i="41"/>
  <c r="C20" i="38"/>
  <c r="AE12" i="23"/>
  <c r="N13" i="23"/>
  <c r="AE11" i="23"/>
  <c r="E5" i="41" s="1"/>
  <c r="G8" i="40"/>
  <c r="Q8" i="6"/>
  <c r="E150" i="40"/>
  <c r="C23" i="41"/>
  <c r="F23" i="41" s="1"/>
  <c r="G23" i="41" s="1"/>
  <c r="AE18" i="22"/>
  <c r="E12" i="22"/>
  <c r="E13" i="22"/>
  <c r="D46" i="41" l="1"/>
  <c r="E12" i="41"/>
  <c r="D12" i="41"/>
  <c r="F12" i="41" s="1"/>
  <c r="G12" i="41" s="1"/>
  <c r="Q8" i="40"/>
  <c r="C11" i="43" s="1"/>
  <c r="E11" i="43" s="1"/>
  <c r="K4" i="41"/>
  <c r="K11" i="41"/>
  <c r="R6" i="6"/>
  <c r="K24" i="41" s="1"/>
  <c r="R7" i="40"/>
  <c r="K5" i="41"/>
  <c r="M5" i="41" s="1"/>
  <c r="N5" i="41" s="1"/>
  <c r="R11" i="40"/>
  <c r="D5" i="43" s="1"/>
  <c r="D13" i="41"/>
  <c r="F13" i="41" s="1"/>
  <c r="G13" i="41" s="1"/>
  <c r="Q9" i="40"/>
  <c r="C12" i="43" s="1"/>
  <c r="E12" i="43" s="1"/>
  <c r="F19" i="41"/>
  <c r="G19" i="41" s="1"/>
  <c r="C22" i="41"/>
  <c r="E20" i="38"/>
  <c r="K25" i="41"/>
  <c r="M25" i="41" s="1"/>
  <c r="N25" i="41" s="1"/>
  <c r="M19" i="41"/>
  <c r="N19" i="41" s="1"/>
  <c r="D5" i="41"/>
  <c r="F5" i="41" s="1"/>
  <c r="G5" i="41" s="1"/>
  <c r="Q11" i="40"/>
  <c r="C5" i="43" s="1"/>
  <c r="G7" i="40"/>
  <c r="G6" i="40" s="1"/>
  <c r="C18" i="43" s="1"/>
  <c r="E18" i="43" s="1"/>
  <c r="G6" i="6"/>
  <c r="D20" i="41" s="1"/>
  <c r="F20" i="41" s="1"/>
  <c r="G20" i="41" s="1"/>
  <c r="Q7" i="6"/>
  <c r="E14" i="41"/>
  <c r="J13" i="19"/>
  <c r="AE15" i="19"/>
  <c r="F6" i="40"/>
  <c r="D17" i="43" s="1"/>
  <c r="D14" i="41"/>
  <c r="Q10" i="40"/>
  <c r="C13" i="43" s="1"/>
  <c r="E13" i="43" s="1"/>
  <c r="F46" i="41"/>
  <c r="G46" i="41" s="1"/>
  <c r="E6" i="40"/>
  <c r="C17" i="43" s="1"/>
  <c r="C26" i="38"/>
  <c r="AE15" i="18"/>
  <c r="J13" i="18"/>
  <c r="D42" i="43"/>
  <c r="K13" i="34"/>
  <c r="K46" i="41"/>
  <c r="M46" i="41" s="1"/>
  <c r="N46" i="41" s="1"/>
  <c r="F6" i="41"/>
  <c r="G6" i="41" s="1"/>
  <c r="F14" i="41" l="1"/>
  <c r="G14" i="41" s="1"/>
  <c r="E5" i="43"/>
  <c r="K16" i="41"/>
  <c r="M16" i="41" s="1"/>
  <c r="N16" i="41" s="1"/>
  <c r="M11" i="41"/>
  <c r="N11" i="41" s="1"/>
  <c r="D25" i="41"/>
  <c r="K8" i="41"/>
  <c r="M8" i="41" s="1"/>
  <c r="N8" i="41" s="1"/>
  <c r="M4" i="41"/>
  <c r="N4" i="41" s="1"/>
  <c r="R6" i="40"/>
  <c r="D4" i="43"/>
  <c r="D10" i="43"/>
  <c r="AE12" i="34"/>
  <c r="E4" i="41" s="1"/>
  <c r="E8" i="41" s="1"/>
  <c r="N13" i="34"/>
  <c r="C24" i="41"/>
  <c r="E26" i="38"/>
  <c r="C22" i="43"/>
  <c r="J13" i="34"/>
  <c r="AE15" i="34"/>
  <c r="E11" i="41" s="1"/>
  <c r="E16" i="41" s="1"/>
  <c r="E17" i="43"/>
  <c r="E22" i="43" s="1"/>
  <c r="D22" i="43"/>
  <c r="D4" i="41"/>
  <c r="D11" i="41"/>
  <c r="Q7" i="40"/>
  <c r="Q6" i="6"/>
  <c r="D24" i="41" s="1"/>
  <c r="F22" i="41"/>
  <c r="G22" i="41" s="1"/>
  <c r="C25" i="41"/>
  <c r="F25" i="41" s="1"/>
  <c r="G25" i="41" s="1"/>
  <c r="C4" i="43" l="1"/>
  <c r="C7" i="43" s="1"/>
  <c r="C10" i="43"/>
  <c r="C14" i="43" s="1"/>
  <c r="Q6" i="40"/>
  <c r="E10" i="43"/>
  <c r="E14" i="43" s="1"/>
  <c r="D14" i="43"/>
  <c r="D16" i="41"/>
  <c r="F16" i="41" s="1"/>
  <c r="G16" i="41" s="1"/>
  <c r="F11" i="41"/>
  <c r="G11" i="41" s="1"/>
  <c r="D7" i="43"/>
  <c r="E4" i="43"/>
  <c r="E7" i="43" s="1"/>
  <c r="F4" i="41"/>
  <c r="G4" i="41" s="1"/>
  <c r="D8" i="41"/>
  <c r="F8" i="41" s="1"/>
  <c r="G8"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D2" authorId="0" shapeId="0" xr:uid="{00000000-0006-0000-0100-000001000000}">
      <text>
        <r>
          <rPr>
            <b/>
            <sz val="10"/>
            <color indexed="81"/>
            <rFont val="Calibri"/>
            <family val="2"/>
          </rPr>
          <t>Emily Grubert:</t>
        </r>
        <r>
          <rPr>
            <sz val="10"/>
            <color indexed="81"/>
            <rFont val="Calibri"/>
            <family val="2"/>
          </rPr>
          <t xml:space="preserve">
excludes hydropower, 2e13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L21" authorId="0" shapeId="0" xr:uid="{00000000-0006-0000-0C00-000001000000}">
      <text>
        <r>
          <rPr>
            <b/>
            <sz val="10"/>
            <color indexed="81"/>
            <rFont val="Calibri"/>
            <family val="2"/>
          </rPr>
          <t>Emily Grubert:</t>
        </r>
        <r>
          <rPr>
            <sz val="10"/>
            <color indexed="81"/>
            <rFont val="Calibri"/>
            <family val="2"/>
          </rPr>
          <t xml:space="preserve">
Leonard 1991</t>
        </r>
      </text>
    </comment>
    <comment ref="X21" authorId="0" shapeId="0" xr:uid="{00000000-0006-0000-0C00-000002000000}">
      <text>
        <r>
          <rPr>
            <b/>
            <sz val="10"/>
            <color indexed="81"/>
            <rFont val="Calibri"/>
            <family val="2"/>
          </rPr>
          <t>Emily Grubert:</t>
        </r>
        <r>
          <rPr>
            <sz val="10"/>
            <color indexed="81"/>
            <rFont val="Calibri"/>
            <family val="2"/>
          </rPr>
          <t xml:space="preserve">
Leonard 1991</t>
        </r>
      </text>
    </comment>
    <comment ref="L27" authorId="0" shapeId="0" xr:uid="{00000000-0006-0000-0C00-000003000000}">
      <text>
        <r>
          <rPr>
            <b/>
            <sz val="10"/>
            <color indexed="81"/>
            <rFont val="Calibri"/>
            <family val="2"/>
          </rPr>
          <t>Emily Grubert:</t>
        </r>
        <r>
          <rPr>
            <sz val="10"/>
            <color indexed="81"/>
            <rFont val="Calibri"/>
            <family val="2"/>
          </rPr>
          <t xml:space="preserve">
assume this matches power plants (does not have to: ash might be taken offsite)</t>
        </r>
      </text>
    </comment>
    <comment ref="X27" authorId="0" shapeId="0" xr:uid="{00000000-0006-0000-0C00-000004000000}">
      <text>
        <r>
          <rPr>
            <b/>
            <sz val="10"/>
            <color indexed="81"/>
            <rFont val="Calibri"/>
            <family val="2"/>
          </rPr>
          <t>Emily Grubert:</t>
        </r>
        <r>
          <rPr>
            <sz val="10"/>
            <color indexed="81"/>
            <rFont val="Calibri"/>
            <family val="2"/>
          </rPr>
          <t xml:space="preserve">
assume this matches power plants (does not have to: ash might be taken offsite)</t>
        </r>
      </text>
    </comment>
    <comment ref="F28" authorId="0" shapeId="0" xr:uid="{00000000-0006-0000-0C00-000005000000}">
      <text>
        <r>
          <rPr>
            <b/>
            <sz val="10"/>
            <color indexed="81"/>
            <rFont val="Calibri"/>
            <family val="2"/>
          </rPr>
          <t>Emily Grubert:</t>
        </r>
        <r>
          <rPr>
            <sz val="10"/>
            <color indexed="81"/>
            <rFont val="Calibri"/>
            <family val="2"/>
          </rPr>
          <t xml:space="preserve">
matches power plant: happens at same sites by definition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B15" authorId="0" shapeId="0" xr:uid="{00000000-0006-0000-0D00-000001000000}">
      <text>
        <r>
          <rPr>
            <b/>
            <sz val="10"/>
            <color indexed="81"/>
            <rFont val="Calibri"/>
            <family val="2"/>
          </rPr>
          <t>Emily Grubert:</t>
        </r>
        <r>
          <rPr>
            <sz val="10"/>
            <color indexed="81"/>
            <rFont val="Calibri"/>
            <family val="2"/>
          </rPr>
          <t xml:space="preserve">
Northern Great Plains less lignite</t>
        </r>
      </text>
    </comment>
    <comment ref="B20" authorId="0" shapeId="0" xr:uid="{00000000-0006-0000-0D00-000002000000}">
      <text>
        <r>
          <rPr>
            <b/>
            <sz val="10"/>
            <color indexed="81"/>
            <rFont val="Calibri"/>
            <family val="2"/>
          </rPr>
          <t>Emily Grubert:</t>
        </r>
        <r>
          <rPr>
            <sz val="10"/>
            <color indexed="81"/>
            <rFont val="Calibri"/>
            <family val="2"/>
          </rPr>
          <t xml:space="preserve">
Northern Great Plains</t>
        </r>
      </text>
    </comment>
    <comment ref="L20" authorId="0" shapeId="0" xr:uid="{00000000-0006-0000-0D00-000003000000}">
      <text>
        <r>
          <rPr>
            <b/>
            <sz val="10"/>
            <color indexed="81"/>
            <rFont val="Calibri"/>
            <family val="2"/>
          </rPr>
          <t>Emily Grubert:</t>
        </r>
        <r>
          <rPr>
            <sz val="10"/>
            <color indexed="81"/>
            <rFont val="Calibri"/>
            <family val="2"/>
          </rPr>
          <t xml:space="preserve">
Leonard 1991</t>
        </r>
      </text>
    </comment>
    <comment ref="X20" authorId="0" shapeId="0" xr:uid="{00000000-0006-0000-0D00-000004000000}">
      <text>
        <r>
          <rPr>
            <b/>
            <sz val="10"/>
            <color indexed="81"/>
            <rFont val="Calibri"/>
            <family val="2"/>
          </rPr>
          <t>Emily Grubert:</t>
        </r>
        <r>
          <rPr>
            <sz val="10"/>
            <color indexed="81"/>
            <rFont val="Calibri"/>
            <family val="2"/>
          </rPr>
          <t xml:space="preserve">
Leonard 1991</t>
        </r>
      </text>
    </comment>
    <comment ref="L26" authorId="0" shapeId="0" xr:uid="{00000000-0006-0000-0D00-000005000000}">
      <text>
        <r>
          <rPr>
            <b/>
            <sz val="10"/>
            <color indexed="81"/>
            <rFont val="Calibri"/>
            <family val="2"/>
          </rPr>
          <t>Emily Grubert:</t>
        </r>
        <r>
          <rPr>
            <sz val="10"/>
            <color indexed="81"/>
            <rFont val="Calibri"/>
            <family val="2"/>
          </rPr>
          <t xml:space="preserve">
assume this matches power plant withdrawals (does not have to: ash might be taken offsite)</t>
        </r>
      </text>
    </comment>
    <comment ref="X26" authorId="0" shapeId="0" xr:uid="{00000000-0006-0000-0D00-000006000000}">
      <text>
        <r>
          <rPr>
            <b/>
            <sz val="10"/>
            <color indexed="81"/>
            <rFont val="Calibri"/>
            <family val="2"/>
          </rPr>
          <t>Emily Grubert:</t>
        </r>
        <r>
          <rPr>
            <sz val="10"/>
            <color indexed="81"/>
            <rFont val="Calibri"/>
            <family val="2"/>
          </rPr>
          <t xml:space="preserve">
assume this matches power plants (does not have to: ash might be taken offsite)</t>
        </r>
      </text>
    </comment>
    <comment ref="F27" authorId="0" shapeId="0" xr:uid="{00000000-0006-0000-0D00-000007000000}">
      <text>
        <r>
          <rPr>
            <b/>
            <sz val="10"/>
            <color indexed="81"/>
            <rFont val="Calibri"/>
            <family val="2"/>
          </rPr>
          <t>Emily Grubert:</t>
        </r>
        <r>
          <rPr>
            <sz val="10"/>
            <color indexed="81"/>
            <rFont val="Calibri"/>
            <family val="2"/>
          </rPr>
          <t xml:space="preserve">
matches power plant: happens at same sites by definition</t>
        </r>
      </text>
    </comment>
    <comment ref="AA27" authorId="0" shapeId="0" xr:uid="{00000000-0006-0000-0D00-000008000000}">
      <text>
        <r>
          <rPr>
            <b/>
            <sz val="10"/>
            <color indexed="81"/>
            <rFont val="Calibri"/>
            <family val="2"/>
          </rPr>
          <t>Emily Grubert:</t>
        </r>
        <r>
          <rPr>
            <sz val="10"/>
            <color indexed="81"/>
            <rFont val="Calibri"/>
            <family val="2"/>
          </rPr>
          <t xml:space="preserve">
scrubbed plus prop. Fraction of unknown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L23" authorId="0" shapeId="0" xr:uid="{00000000-0006-0000-0E00-000001000000}">
      <text>
        <r>
          <rPr>
            <b/>
            <sz val="10"/>
            <color indexed="81"/>
            <rFont val="Calibri"/>
            <family val="2"/>
          </rPr>
          <t>Emily Grubert:</t>
        </r>
        <r>
          <rPr>
            <sz val="10"/>
            <color indexed="81"/>
            <rFont val="Calibri"/>
            <family val="2"/>
          </rPr>
          <t xml:space="preserve">
Leonard 1991</t>
        </r>
      </text>
    </comment>
    <comment ref="X23" authorId="0" shapeId="0" xr:uid="{00000000-0006-0000-0E00-000002000000}">
      <text>
        <r>
          <rPr>
            <b/>
            <sz val="10"/>
            <color indexed="81"/>
            <rFont val="Calibri"/>
            <family val="2"/>
          </rPr>
          <t>Emily Grubert:</t>
        </r>
        <r>
          <rPr>
            <sz val="10"/>
            <color indexed="81"/>
            <rFont val="Calibri"/>
            <family val="2"/>
          </rPr>
          <t xml:space="preserve">
Leonard 1991</t>
        </r>
      </text>
    </comment>
    <comment ref="L24" authorId="0" shapeId="0" xr:uid="{00000000-0006-0000-0E00-000003000000}">
      <text>
        <r>
          <rPr>
            <b/>
            <sz val="10"/>
            <color indexed="81"/>
            <rFont val="Calibri"/>
            <family val="2"/>
          </rPr>
          <t>Emily Grubert:</t>
        </r>
        <r>
          <rPr>
            <sz val="10"/>
            <color indexed="81"/>
            <rFont val="Calibri"/>
            <family val="2"/>
          </rPr>
          <t xml:space="preserve">
Leonard 1991</t>
        </r>
      </text>
    </comment>
    <comment ref="X24" authorId="0" shapeId="0" xr:uid="{00000000-0006-0000-0E00-000004000000}">
      <text>
        <r>
          <rPr>
            <b/>
            <sz val="10"/>
            <color indexed="81"/>
            <rFont val="Calibri"/>
            <family val="2"/>
          </rPr>
          <t>Emily Grubert:</t>
        </r>
        <r>
          <rPr>
            <sz val="10"/>
            <color indexed="81"/>
            <rFont val="Calibri"/>
            <family val="2"/>
          </rPr>
          <t xml:space="preserve">
Leonard 1991</t>
        </r>
      </text>
    </comment>
    <comment ref="L25" authorId="0" shapeId="0" xr:uid="{00000000-0006-0000-0E00-000005000000}">
      <text>
        <r>
          <rPr>
            <b/>
            <sz val="10"/>
            <color indexed="81"/>
            <rFont val="Calibri"/>
            <family val="2"/>
          </rPr>
          <t>Emily Grubert:</t>
        </r>
        <r>
          <rPr>
            <sz val="10"/>
            <color indexed="81"/>
            <rFont val="Calibri"/>
            <family val="2"/>
          </rPr>
          <t xml:space="preserve">
Leonard 1991</t>
        </r>
      </text>
    </comment>
    <comment ref="X25" authorId="0" shapeId="0" xr:uid="{00000000-0006-0000-0E00-000006000000}">
      <text>
        <r>
          <rPr>
            <b/>
            <sz val="10"/>
            <color indexed="81"/>
            <rFont val="Calibri"/>
            <family val="2"/>
          </rPr>
          <t>Emily Grubert:</t>
        </r>
        <r>
          <rPr>
            <sz val="10"/>
            <color indexed="81"/>
            <rFont val="Calibri"/>
            <family val="2"/>
          </rPr>
          <t xml:space="preserve">
Leonard 1991</t>
        </r>
      </text>
    </comment>
    <comment ref="L31" authorId="0" shapeId="0" xr:uid="{00000000-0006-0000-0E00-000007000000}">
      <text>
        <r>
          <rPr>
            <b/>
            <sz val="10"/>
            <color indexed="81"/>
            <rFont val="Calibri"/>
            <family val="2"/>
          </rPr>
          <t>Emily Grubert:</t>
        </r>
        <r>
          <rPr>
            <sz val="10"/>
            <color indexed="81"/>
            <rFont val="Calibri"/>
            <family val="2"/>
          </rPr>
          <t xml:space="preserve">
assume this matches power plant withdrawals (does not have to: ash might be taken offsite)</t>
        </r>
      </text>
    </comment>
    <comment ref="X31" authorId="0" shapeId="0" xr:uid="{00000000-0006-0000-0E00-000008000000}">
      <text>
        <r>
          <rPr>
            <b/>
            <sz val="10"/>
            <color indexed="81"/>
            <rFont val="Calibri"/>
            <family val="2"/>
          </rPr>
          <t>Emily Grubert:</t>
        </r>
        <r>
          <rPr>
            <sz val="10"/>
            <color indexed="81"/>
            <rFont val="Calibri"/>
            <family val="2"/>
          </rPr>
          <t xml:space="preserve">
assume this matches power plants (does not have to: ash might be taken offsite)</t>
        </r>
      </text>
    </comment>
    <comment ref="F32" authorId="0" shapeId="0" xr:uid="{00000000-0006-0000-0E00-000009000000}">
      <text>
        <r>
          <rPr>
            <b/>
            <sz val="10"/>
            <color indexed="81"/>
            <rFont val="Calibri"/>
            <family val="2"/>
          </rPr>
          <t>Emily Grubert:</t>
        </r>
        <r>
          <rPr>
            <sz val="10"/>
            <color indexed="81"/>
            <rFont val="Calibri"/>
            <family val="2"/>
          </rPr>
          <t xml:space="preserve">
matches power plant: happens at same sites by definition</t>
        </r>
      </text>
    </comment>
    <comment ref="AA32" authorId="0" shapeId="0" xr:uid="{00000000-0006-0000-0E00-00000A000000}">
      <text>
        <r>
          <rPr>
            <b/>
            <sz val="10"/>
            <color indexed="81"/>
            <rFont val="Calibri"/>
            <family val="2"/>
          </rPr>
          <t>Emily Grubert:</t>
        </r>
        <r>
          <rPr>
            <sz val="10"/>
            <color indexed="81"/>
            <rFont val="Calibri"/>
            <family val="2"/>
          </rPr>
          <t xml:space="preserve">
scrubbed plus prop. Fraction of unknown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L24" authorId="0" shapeId="0" xr:uid="{00000000-0006-0000-0F00-000001000000}">
      <text>
        <r>
          <rPr>
            <b/>
            <sz val="10"/>
            <color indexed="81"/>
            <rFont val="Calibri"/>
            <family val="2"/>
          </rPr>
          <t>Emily Grubert:</t>
        </r>
        <r>
          <rPr>
            <sz val="10"/>
            <color indexed="81"/>
            <rFont val="Calibri"/>
            <family val="2"/>
          </rPr>
          <t xml:space="preserve">
assume this matches power plant withdrawals (does not have to: ash might be taken offsite)</t>
        </r>
      </text>
    </comment>
    <comment ref="X24" authorId="0" shapeId="0" xr:uid="{00000000-0006-0000-0F00-000002000000}">
      <text>
        <r>
          <rPr>
            <b/>
            <sz val="10"/>
            <color indexed="81"/>
            <rFont val="Calibri"/>
            <family val="2"/>
          </rPr>
          <t>Emily Grubert:</t>
        </r>
        <r>
          <rPr>
            <sz val="10"/>
            <color indexed="81"/>
            <rFont val="Calibri"/>
            <family val="2"/>
          </rPr>
          <t xml:space="preserve">
assume this matches power plants (does not have to: ash might be taken offsite)</t>
        </r>
      </text>
    </comment>
    <comment ref="AA25" authorId="0" shapeId="0" xr:uid="{00000000-0006-0000-0F00-000003000000}">
      <text>
        <r>
          <rPr>
            <b/>
            <sz val="10"/>
            <color indexed="81"/>
            <rFont val="Calibri"/>
            <family val="2"/>
          </rPr>
          <t>Emily Grubert:</t>
        </r>
        <r>
          <rPr>
            <sz val="10"/>
            <color indexed="81"/>
            <rFont val="Calibri"/>
            <family val="2"/>
          </rPr>
          <t xml:space="preserve">
scrubbed plus prop. Fraction of unknown</t>
        </r>
      </text>
    </comment>
    <comment ref="A32" authorId="0" shapeId="0" xr:uid="{00000000-0006-0000-0F00-000004000000}">
      <text>
        <r>
          <rPr>
            <b/>
            <sz val="9"/>
            <color indexed="81"/>
            <rFont val="Calibri"/>
            <family val="2"/>
          </rPr>
          <t>Emily Grubert:</t>
        </r>
        <r>
          <rPr>
            <sz val="9"/>
            <color indexed="81"/>
            <rFont val="Calibri"/>
            <family val="2"/>
          </rPr>
          <t xml:space="preserve">
I'm forcing this to my withd=cons result from the paper: else big stormwater effects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O15" authorId="0" shapeId="0" xr:uid="{00000000-0006-0000-1000-000001000000}">
      <text>
        <r>
          <rPr>
            <b/>
            <sz val="10"/>
            <color indexed="81"/>
            <rFont val="Calibri"/>
            <family val="2"/>
          </rPr>
          <t>Emily Grubert:</t>
        </r>
        <r>
          <rPr>
            <sz val="10"/>
            <color indexed="81"/>
            <rFont val="Calibri"/>
            <family val="2"/>
          </rPr>
          <t xml:space="preserve">
recycled water is accounted as withdrawn for produced water, remove from withd here</t>
        </r>
      </text>
    </comment>
    <comment ref="Y15" authorId="0" shapeId="0" xr:uid="{00000000-0006-0000-1000-000002000000}">
      <text>
        <r>
          <rPr>
            <b/>
            <sz val="10"/>
            <color indexed="81"/>
            <rFont val="Calibri"/>
            <family val="2"/>
          </rPr>
          <t>Emily Grubert:</t>
        </r>
        <r>
          <rPr>
            <sz val="10"/>
            <color indexed="81"/>
            <rFont val="Calibri"/>
            <family val="2"/>
          </rPr>
          <t xml:space="preserve">
reuse water is "withdrawn" as produced water</t>
        </r>
      </text>
    </comment>
    <comment ref="O16" authorId="0" shapeId="0" xr:uid="{00000000-0006-0000-1000-000003000000}">
      <text>
        <r>
          <rPr>
            <b/>
            <sz val="10"/>
            <color indexed="81"/>
            <rFont val="Calibri"/>
            <family val="2"/>
          </rPr>
          <t>Emily Grubert:</t>
        </r>
        <r>
          <rPr>
            <sz val="10"/>
            <color indexed="81"/>
            <rFont val="Calibri"/>
            <family val="2"/>
          </rPr>
          <t xml:space="preserve">
recycled water is accounted as withdrawn for produced water, remove from withd here</t>
        </r>
      </text>
    </comment>
    <comment ref="Y16" authorId="0" shapeId="0" xr:uid="{00000000-0006-0000-1000-000004000000}">
      <text>
        <r>
          <rPr>
            <b/>
            <sz val="10"/>
            <color indexed="81"/>
            <rFont val="Calibri"/>
            <family val="2"/>
          </rPr>
          <t>Emily Grubert:</t>
        </r>
        <r>
          <rPr>
            <sz val="10"/>
            <color indexed="81"/>
            <rFont val="Calibri"/>
            <family val="2"/>
          </rPr>
          <t xml:space="preserve">
reuse water is "withdrawn" as produced water</t>
        </r>
      </text>
    </comment>
    <comment ref="B23" authorId="0" shapeId="0" xr:uid="{00000000-0006-0000-1000-000005000000}">
      <text>
        <r>
          <rPr>
            <b/>
            <sz val="10"/>
            <color indexed="81"/>
            <rFont val="Calibri"/>
            <family val="2"/>
          </rPr>
          <t>Emily Grubert:</t>
        </r>
        <r>
          <rPr>
            <sz val="10"/>
            <color indexed="81"/>
            <rFont val="Calibri"/>
            <family val="2"/>
          </rPr>
          <t xml:space="preserve">
account as produced water quality because that's what actually rmoved</t>
        </r>
      </text>
    </comment>
    <comment ref="L24" authorId="0" shapeId="0" xr:uid="{00000000-0006-0000-1000-000006000000}">
      <text>
        <r>
          <rPr>
            <b/>
            <sz val="10"/>
            <color indexed="81"/>
            <rFont val="Calibri"/>
            <family val="2"/>
          </rPr>
          <t>Emily Grubert:</t>
        </r>
        <r>
          <rPr>
            <sz val="10"/>
            <color indexed="81"/>
            <rFont val="Calibri"/>
            <family val="2"/>
          </rPr>
          <t xml:space="preserve">
public supply/ag</t>
        </r>
      </text>
    </comment>
    <comment ref="AA24" authorId="0" shapeId="0" xr:uid="{00000000-0006-0000-1000-000007000000}">
      <text>
        <r>
          <rPr>
            <b/>
            <sz val="10"/>
            <color indexed="81"/>
            <rFont val="Calibri"/>
            <family val="2"/>
          </rPr>
          <t>Emily Grubert:</t>
        </r>
        <r>
          <rPr>
            <sz val="10"/>
            <color indexed="81"/>
            <rFont val="Calibri"/>
            <family val="2"/>
          </rPr>
          <t xml:space="preserve">
conventional gas only</t>
        </r>
      </text>
    </comment>
    <comment ref="AA25" authorId="0" shapeId="0" xr:uid="{00000000-0006-0000-1000-000008000000}">
      <text>
        <r>
          <rPr>
            <b/>
            <sz val="10"/>
            <color indexed="81"/>
            <rFont val="Calibri"/>
            <family val="2"/>
          </rPr>
          <t>Emily Grubert:</t>
        </r>
        <r>
          <rPr>
            <sz val="10"/>
            <color indexed="81"/>
            <rFont val="Calibri"/>
            <family val="2"/>
          </rPr>
          <t xml:space="preserve">
all gas</t>
        </r>
      </text>
    </comment>
    <comment ref="AA26" authorId="0" shapeId="0" xr:uid="{00000000-0006-0000-1000-000009000000}">
      <text>
        <r>
          <rPr>
            <b/>
            <sz val="10"/>
            <color indexed="81"/>
            <rFont val="Calibri"/>
            <family val="2"/>
          </rPr>
          <t>Emily Grubert:</t>
        </r>
        <r>
          <rPr>
            <sz val="10"/>
            <color indexed="81"/>
            <rFont val="Calibri"/>
            <family val="2"/>
          </rPr>
          <t xml:space="preserve">
2014 LNG exports</t>
        </r>
      </text>
    </comment>
    <comment ref="C27" authorId="0" shapeId="0" xr:uid="{00000000-0006-0000-1000-00000A000000}">
      <text>
        <r>
          <rPr>
            <b/>
            <sz val="10"/>
            <color indexed="81"/>
            <rFont val="Calibri"/>
            <family val="2"/>
          </rPr>
          <t>Emily Grubert:</t>
        </r>
        <r>
          <rPr>
            <sz val="10"/>
            <color indexed="81"/>
            <rFont val="Calibri"/>
            <family val="2"/>
          </rPr>
          <t xml:space="preserve">
lower res data on export vs import: assume half from Golden Pass, half from Distrigas</t>
        </r>
      </text>
    </comment>
    <comment ref="AA27" authorId="0" shapeId="0" xr:uid="{00000000-0006-0000-1000-00000B000000}">
      <text>
        <r>
          <rPr>
            <b/>
            <sz val="10"/>
            <color indexed="81"/>
            <rFont val="Calibri"/>
            <family val="2"/>
          </rPr>
          <t>Emily Grubert:</t>
        </r>
        <r>
          <rPr>
            <sz val="10"/>
            <color indexed="81"/>
            <rFont val="Calibri"/>
            <family val="2"/>
          </rPr>
          <t xml:space="preserve">
2014 LNG imports
</t>
        </r>
      </text>
    </comment>
    <comment ref="B30" authorId="0" shapeId="0" xr:uid="{00000000-0006-0000-1000-00000C000000}">
      <text>
        <r>
          <rPr>
            <b/>
            <sz val="10"/>
            <color indexed="81"/>
            <rFont val="Calibri"/>
            <family val="2"/>
          </rPr>
          <t>Emily Grubert:</t>
        </r>
        <r>
          <rPr>
            <sz val="10"/>
            <color indexed="81"/>
            <rFont val="Calibri"/>
            <family val="2"/>
          </rPr>
          <t xml:space="preserve">
post-commissioning</t>
        </r>
      </text>
    </comment>
    <comment ref="L31" authorId="0" shapeId="0" xr:uid="{00000000-0006-0000-1000-00000D000000}">
      <text>
        <r>
          <rPr>
            <b/>
            <sz val="10"/>
            <color indexed="81"/>
            <rFont val="Calibri"/>
            <family val="2"/>
          </rPr>
          <t>Emily Grubert:</t>
        </r>
        <r>
          <rPr>
            <sz val="10"/>
            <color indexed="81"/>
            <rFont val="Calibri"/>
            <family val="2"/>
          </rPr>
          <t xml:space="preserve">
industrial ratio</t>
        </r>
      </text>
    </comment>
    <comment ref="X31" authorId="0" shapeId="0" xr:uid="{00000000-0006-0000-1000-00000E000000}">
      <text>
        <r>
          <rPr>
            <b/>
            <sz val="10"/>
            <color indexed="81"/>
            <rFont val="Calibri"/>
            <family val="2"/>
          </rPr>
          <t>Emily Grubert:</t>
        </r>
        <r>
          <rPr>
            <sz val="10"/>
            <color indexed="81"/>
            <rFont val="Calibri"/>
            <family val="2"/>
          </rPr>
          <t xml:space="preserve">
industrial ratio</t>
        </r>
      </text>
    </comment>
    <comment ref="AA32" authorId="0" shapeId="0" xr:uid="{00000000-0006-0000-1000-00000F000000}">
      <text>
        <r>
          <rPr>
            <b/>
            <sz val="10"/>
            <color indexed="81"/>
            <rFont val="Calibri"/>
            <family val="2"/>
          </rPr>
          <t>Emily Grubert:</t>
        </r>
        <r>
          <rPr>
            <sz val="10"/>
            <color indexed="81"/>
            <rFont val="Calibri"/>
            <family val="2"/>
          </rPr>
          <t xml:space="preserve">
2014 LNG imports</t>
        </r>
      </text>
    </comment>
    <comment ref="AA33" authorId="0" shapeId="0" xr:uid="{00000000-0006-0000-1000-000010000000}">
      <text>
        <r>
          <rPr>
            <b/>
            <sz val="10"/>
            <color indexed="81"/>
            <rFont val="Calibri"/>
            <family val="2"/>
          </rPr>
          <t>Emily Grubert:</t>
        </r>
        <r>
          <rPr>
            <sz val="10"/>
            <color indexed="81"/>
            <rFont val="Calibri"/>
            <family val="2"/>
          </rPr>
          <t xml:space="preserve">
2014 LNG exports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B26" authorId="0" shapeId="0" xr:uid="{00000000-0006-0000-1100-000001000000}">
      <text>
        <r>
          <rPr>
            <b/>
            <sz val="10"/>
            <color indexed="81"/>
            <rFont val="Calibri"/>
            <family val="2"/>
          </rPr>
          <t>Emily Grubert:</t>
        </r>
        <r>
          <rPr>
            <sz val="10"/>
            <color indexed="81"/>
            <rFont val="Calibri"/>
            <family val="2"/>
          </rPr>
          <t xml:space="preserve">
post-commissioning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A1" authorId="0" shapeId="0" xr:uid="{00000000-0006-0000-1200-000001000000}">
      <text>
        <r>
          <rPr>
            <b/>
            <sz val="10"/>
            <color indexed="81"/>
            <rFont val="Calibri"/>
            <family val="2"/>
          </rPr>
          <t>Emily Grubert:</t>
        </r>
        <r>
          <rPr>
            <sz val="10"/>
            <color indexed="81"/>
            <rFont val="Calibri"/>
            <family val="2"/>
          </rPr>
          <t xml:space="preserve">
tight and coalbed</t>
        </r>
      </text>
    </comment>
    <comment ref="B27" authorId="0" shapeId="0" xr:uid="{00000000-0006-0000-1200-000002000000}">
      <text>
        <r>
          <rPr>
            <b/>
            <sz val="10"/>
            <color indexed="81"/>
            <rFont val="Calibri"/>
            <family val="2"/>
          </rPr>
          <t>Emily Grubert:</t>
        </r>
        <r>
          <rPr>
            <sz val="10"/>
            <color indexed="81"/>
            <rFont val="Calibri"/>
            <family val="2"/>
          </rPr>
          <t xml:space="preserve">
post-commissioning</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K22" authorId="0" shapeId="0" xr:uid="{00000000-0006-0000-1300-000001000000}">
      <text>
        <r>
          <rPr>
            <b/>
            <sz val="10"/>
            <color indexed="81"/>
            <rFont val="Calibri"/>
            <family val="2"/>
          </rPr>
          <t>Emily Grubert:</t>
        </r>
        <r>
          <rPr>
            <sz val="10"/>
            <color indexed="81"/>
            <rFont val="Calibri"/>
            <family val="2"/>
          </rPr>
          <t xml:space="preserve">
NF-A dry IDR process is gwater, rest are surface</t>
        </r>
      </text>
    </comment>
    <comment ref="W22" authorId="0" shapeId="0" xr:uid="{00000000-0006-0000-1300-000002000000}">
      <text>
        <r>
          <rPr>
            <b/>
            <sz val="10"/>
            <color indexed="81"/>
            <rFont val="Calibri"/>
            <family val="2"/>
          </rPr>
          <t>Emily Grubert:</t>
        </r>
        <r>
          <rPr>
            <sz val="10"/>
            <color indexed="81"/>
            <rFont val="Calibri"/>
            <family val="2"/>
          </rPr>
          <t xml:space="preserve">
NF-A dry IDR process is gwater, rest are surface</t>
        </r>
      </text>
    </comment>
    <comment ref="AA26" authorId="0" shapeId="0" xr:uid="{00000000-0006-0000-1300-000003000000}">
      <text>
        <r>
          <rPr>
            <b/>
            <sz val="10"/>
            <color indexed="81"/>
            <rFont val="Calibri"/>
            <family val="2"/>
          </rPr>
          <t>Emily Grubert:</t>
        </r>
        <r>
          <rPr>
            <sz val="10"/>
            <color indexed="81"/>
            <rFont val="Calibri"/>
            <family val="2"/>
          </rPr>
          <t xml:space="preserve">
input</t>
        </r>
      </text>
    </comment>
    <comment ref="B31" authorId="0" shapeId="0" xr:uid="{00000000-0006-0000-1300-000004000000}">
      <text>
        <r>
          <rPr>
            <b/>
            <sz val="10"/>
            <color indexed="81"/>
            <rFont val="Calibri"/>
            <family val="2"/>
          </rPr>
          <t>Emily Grubert:</t>
        </r>
        <r>
          <rPr>
            <sz val="10"/>
            <color indexed="81"/>
            <rFont val="Calibri"/>
            <family val="2"/>
          </rPr>
          <t xml:space="preserve">
note this is different because it received relatively cool fuel</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A1" authorId="0" shapeId="0" xr:uid="{00000000-0006-0000-1400-000001000000}">
      <text>
        <r>
          <rPr>
            <b/>
            <sz val="10"/>
            <color indexed="81"/>
            <rFont val="Calibri"/>
            <family val="2"/>
          </rPr>
          <t>Emily Grubert:</t>
        </r>
        <r>
          <rPr>
            <sz val="10"/>
            <color indexed="81"/>
            <rFont val="Calibri"/>
            <family val="2"/>
          </rPr>
          <t xml:space="preserve">
Note: the hydropower withdrawal chart is on a different axis than the other non-liquid fuels due to the volume of hydropower withdrawal being so much higher (2 orders of magnitude) than any other value charted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L15" authorId="0" shapeId="0" xr:uid="{00000000-0006-0000-1600-000001000000}">
      <text>
        <r>
          <rPr>
            <b/>
            <sz val="10"/>
            <color indexed="81"/>
            <rFont val="Calibri"/>
            <family val="2"/>
          </rPr>
          <t>Emily Grubert:</t>
        </r>
        <r>
          <rPr>
            <sz val="10"/>
            <color indexed="81"/>
            <rFont val="Calibri"/>
            <family val="2"/>
          </rPr>
          <t xml:space="preserve">
based on ag ratio</t>
        </r>
      </text>
    </comment>
    <comment ref="X15" authorId="0" shapeId="0" xr:uid="{00000000-0006-0000-1600-000002000000}">
      <text>
        <r>
          <rPr>
            <b/>
            <sz val="10"/>
            <color indexed="81"/>
            <rFont val="Calibri"/>
            <family val="2"/>
          </rPr>
          <t>Emily Grubert:</t>
        </r>
        <r>
          <rPr>
            <sz val="10"/>
            <color indexed="81"/>
            <rFont val="Calibri"/>
            <family val="2"/>
          </rPr>
          <t xml:space="preserve">
based on ag ratio</t>
        </r>
      </text>
    </comment>
    <comment ref="L25" authorId="0" shapeId="0" xr:uid="{00000000-0006-0000-1600-000003000000}">
      <text>
        <r>
          <rPr>
            <b/>
            <sz val="10"/>
            <color indexed="81"/>
            <rFont val="Calibri"/>
            <family val="2"/>
          </rPr>
          <t>Emily Grubert:</t>
        </r>
        <r>
          <rPr>
            <sz val="10"/>
            <color indexed="81"/>
            <rFont val="Calibri"/>
            <family val="2"/>
          </rPr>
          <t xml:space="preserve">
assume this matches power plant withdrawals (does not have to: ash might be taken offsite)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D2" authorId="0" shapeId="0" xr:uid="{00000000-0006-0000-0200-000001000000}">
      <text>
        <r>
          <rPr>
            <b/>
            <sz val="10"/>
            <color indexed="81"/>
            <rFont val="Calibri"/>
            <family val="2"/>
          </rPr>
          <t>Emily Grubert:</t>
        </r>
        <r>
          <rPr>
            <sz val="10"/>
            <color indexed="81"/>
            <rFont val="Calibri"/>
            <family val="2"/>
          </rPr>
          <t xml:space="preserve">
excludes hydropower, 2e13</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B19" authorId="0" shapeId="0" xr:uid="{00000000-0006-0000-1800-000001000000}">
      <text>
        <r>
          <rPr>
            <b/>
            <sz val="10"/>
            <color indexed="81"/>
            <rFont val="Calibri"/>
            <family val="2"/>
          </rPr>
          <t>Emily Grubert:</t>
        </r>
        <r>
          <rPr>
            <sz val="10"/>
            <color indexed="81"/>
            <rFont val="Calibri"/>
            <family val="2"/>
          </rPr>
          <t xml:space="preserve">
separate this from the conversion ones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Emily Grubert</author>
    <author>Microsoft Office User</author>
  </authors>
  <commentList>
    <comment ref="E2" authorId="0" shapeId="0" xr:uid="{00000000-0006-0000-2000-000001000000}">
      <text>
        <r>
          <rPr>
            <b/>
            <sz val="9"/>
            <color indexed="81"/>
            <rFont val="Calibri"/>
            <family val="2"/>
          </rPr>
          <t>Emily Grubert:</t>
        </r>
        <r>
          <rPr>
            <sz val="9"/>
            <color indexed="81"/>
            <rFont val="Calibri"/>
            <family val="2"/>
          </rPr>
          <t xml:space="preserve">
GJ measured primary energy (e.g. before power conversion losses)</t>
        </r>
      </text>
    </comment>
    <comment ref="E5" authorId="0" shapeId="0" xr:uid="{00000000-0006-0000-2000-000002000000}">
      <text>
        <r>
          <rPr>
            <b/>
            <sz val="10"/>
            <color indexed="81"/>
            <rFont val="Calibri"/>
            <family val="2"/>
          </rPr>
          <t>Emily Grubert:</t>
        </r>
        <r>
          <rPr>
            <sz val="10"/>
            <color indexed="81"/>
            <rFont val="Calibri"/>
            <family val="2"/>
          </rPr>
          <t xml:space="preserve">
unconv is correct: subtracting out domestically produced unconv resource</t>
        </r>
      </text>
    </comment>
    <comment ref="B7" authorId="0" shapeId="0" xr:uid="{00000000-0006-0000-2000-000003000000}">
      <text>
        <r>
          <rPr>
            <b/>
            <sz val="10"/>
            <color indexed="81"/>
            <rFont val="Calibri"/>
            <family val="2"/>
          </rPr>
          <t>Emily Grubert:</t>
        </r>
        <r>
          <rPr>
            <sz val="10"/>
            <color indexed="81"/>
            <rFont val="Calibri"/>
            <family val="2"/>
          </rPr>
          <t xml:space="preserve">
https://www.eia.gov/dnav/pet/pet_sum_snd_a_EPOORXFE_mbbl_a_cur-2.htm
petroleum and other liquids supply and disposition for 2014, no imports
https://www.eia.gov/totalenergy/data/browser/?tbl=TA3#/?f=A&amp;start=1991
fuel ethanol feedstock: 5.797 mmbtu/bbl vs 3.558 for the ethanol itself</t>
        </r>
      </text>
    </comment>
    <comment ref="B17" authorId="0" shapeId="0" xr:uid="{00000000-0006-0000-2000-000004000000}">
      <text>
        <r>
          <rPr>
            <b/>
            <sz val="10"/>
            <color indexed="81"/>
            <rFont val="Calibri"/>
            <family val="2"/>
          </rPr>
          <t>Emily Grubert:</t>
        </r>
        <r>
          <rPr>
            <sz val="10"/>
            <color indexed="81"/>
            <rFont val="Calibri"/>
            <family val="2"/>
          </rPr>
          <t xml:space="preserve">
some of this is heat
</t>
        </r>
      </text>
    </comment>
    <comment ref="A62" authorId="0" shapeId="0" xr:uid="{00000000-0006-0000-2000-000005000000}">
      <text>
        <r>
          <rPr>
            <b/>
            <sz val="9"/>
            <color indexed="81"/>
            <rFont val="Calibri"/>
            <family val="2"/>
          </rPr>
          <t>Emily Grubert:</t>
        </r>
        <r>
          <rPr>
            <sz val="9"/>
            <color indexed="81"/>
            <rFont val="Calibri"/>
            <family val="2"/>
          </rPr>
          <t xml:space="preserve">
does not include distribution system losses</t>
        </r>
      </text>
    </comment>
    <comment ref="A63" authorId="0" shapeId="0" xr:uid="{00000000-0006-0000-2000-000006000000}">
      <text>
        <r>
          <rPr>
            <b/>
            <sz val="9"/>
            <color indexed="81"/>
            <rFont val="Calibri"/>
            <family val="2"/>
          </rPr>
          <t>Emily Grubert:</t>
        </r>
        <r>
          <rPr>
            <sz val="9"/>
            <color indexed="81"/>
            <rFont val="Calibri"/>
            <family val="2"/>
          </rPr>
          <t xml:space="preserve">
does not include distribution system losses</t>
        </r>
      </text>
    </comment>
    <comment ref="A64" authorId="0" shapeId="0" xr:uid="{00000000-0006-0000-2000-000007000000}">
      <text>
        <r>
          <rPr>
            <b/>
            <sz val="9"/>
            <color indexed="81"/>
            <rFont val="Calibri"/>
            <family val="2"/>
          </rPr>
          <t>Emily Grubert:</t>
        </r>
        <r>
          <rPr>
            <sz val="9"/>
            <color indexed="81"/>
            <rFont val="Calibri"/>
            <family val="2"/>
          </rPr>
          <t xml:space="preserve">
includes distribution system losses</t>
        </r>
      </text>
    </comment>
    <comment ref="A104" authorId="0" shapeId="0" xr:uid="{00000000-0006-0000-2000-000008000000}">
      <text>
        <r>
          <rPr>
            <b/>
            <sz val="10"/>
            <color indexed="81"/>
            <rFont val="Calibri"/>
            <family val="2"/>
          </rPr>
          <t>Emily Grubert:</t>
        </r>
        <r>
          <rPr>
            <sz val="10"/>
            <color indexed="81"/>
            <rFont val="Calibri"/>
            <family val="2"/>
          </rPr>
          <t xml:space="preserve">
*CHP and small electricity-only plants. Treat them as power plants for water purposes.</t>
        </r>
      </text>
    </comment>
    <comment ref="B119" authorId="0" shapeId="0" xr:uid="{00000000-0006-0000-2000-000009000000}">
      <text>
        <r>
          <rPr>
            <b/>
            <sz val="9"/>
            <color indexed="81"/>
            <rFont val="Calibri"/>
            <family val="2"/>
          </rPr>
          <t>Emily Grubert:</t>
        </r>
        <r>
          <rPr>
            <sz val="9"/>
            <color indexed="81"/>
            <rFont val="Calibri"/>
            <family val="2"/>
          </rPr>
          <t xml:space="preserve">
42340 wood and wood-derived, 3202 other waste biomass; MSW/RDF: biogenic only: 7228. assumes 51%/49% energy basis split biogenic/nonbiogenic http://www.eia.gov/electricity/annual/pdf/tech_notes.pdf</t>
        </r>
      </text>
    </comment>
    <comment ref="B120" authorId="0" shapeId="0" xr:uid="{00000000-0006-0000-2000-00000A000000}">
      <text>
        <r>
          <rPr>
            <b/>
            <sz val="9"/>
            <color indexed="81"/>
            <rFont val="Calibri"/>
            <family val="2"/>
          </rPr>
          <t>Emily Grubert:</t>
        </r>
        <r>
          <rPr>
            <sz val="9"/>
            <color indexed="81"/>
            <rFont val="Calibri"/>
            <family val="2"/>
          </rPr>
          <t xml:space="preserve">
landfill gas</t>
        </r>
      </text>
    </comment>
    <comment ref="B122" authorId="0" shapeId="0" xr:uid="{00000000-0006-0000-2000-00000B000000}">
      <text>
        <r>
          <rPr>
            <b/>
            <sz val="10"/>
            <color indexed="81"/>
            <rFont val="Calibri"/>
            <family val="2"/>
          </rPr>
          <t>Emily Grubert:</t>
        </r>
        <r>
          <rPr>
            <sz val="10"/>
            <color indexed="81"/>
            <rFont val="Calibri"/>
            <family val="2"/>
          </rPr>
          <t xml:space="preserve">
15250 at utility scale, 26482 total</t>
        </r>
      </text>
    </comment>
    <comment ref="B124" authorId="0" shapeId="0" xr:uid="{00000000-0006-0000-2000-00000C000000}">
      <text>
        <r>
          <rPr>
            <b/>
            <sz val="9"/>
            <color indexed="81"/>
            <rFont val="Calibri"/>
            <family val="2"/>
          </rPr>
          <t>Emily Grubert:</t>
        </r>
        <r>
          <rPr>
            <sz val="9"/>
            <color indexed="81"/>
            <rFont val="Calibri"/>
            <family val="2"/>
          </rPr>
          <t xml:space="preserve">
petroleum liquids, petroleum coke, "other gases" + last 6944 is based on the portion of the 13461 "other" that is not allocated to nonbiogenic MSW on the basis of 51% biogenic/ 49% nonbiogenic used in 2011-2013 by EIA. these 6944 GWh are derived from tire-derived fuels (petroleum), hydrogen (likely ngas derived at refineries), purchased steam, batteries, etc. See http://www.eia.gov/electricity/annual/html/epa_03_01_a.html</t>
        </r>
      </text>
    </comment>
    <comment ref="B128" authorId="0" shapeId="0" xr:uid="{00000000-0006-0000-2000-00000D000000}">
      <text>
        <r>
          <rPr>
            <b/>
            <sz val="10"/>
            <color indexed="81"/>
            <rFont val="Calibri"/>
            <family val="2"/>
          </rPr>
          <t>Emily Grubert:</t>
        </r>
        <r>
          <rPr>
            <sz val="10"/>
            <color indexed="81"/>
            <rFont val="Calibri"/>
            <family val="2"/>
          </rPr>
          <t xml:space="preserve">
this difference is 0 when the estimated distributed solar (11233 GWh) is excluded</t>
        </r>
      </text>
    </comment>
    <comment ref="C130" authorId="0" shapeId="0" xr:uid="{00000000-0006-0000-2000-00000E000000}">
      <text>
        <r>
          <rPr>
            <b/>
            <sz val="10"/>
            <color indexed="81"/>
            <rFont val="Calibri"/>
            <family val="2"/>
          </rPr>
          <t>Emily Grubert:</t>
        </r>
        <r>
          <rPr>
            <sz val="10"/>
            <color indexed="81"/>
            <rFont val="Calibri"/>
            <family val="2"/>
          </rPr>
          <t xml:space="preserve">
dn include processing gain: the "energy data by fuel cycle" numbers do</t>
        </r>
      </text>
    </comment>
    <comment ref="C131" authorId="1" shapeId="0" xr:uid="{00000000-0006-0000-2000-00000F000000}">
      <text>
        <r>
          <rPr>
            <b/>
            <sz val="10"/>
            <color indexed="81"/>
            <rFont val="Calibri"/>
            <family val="2"/>
          </rPr>
          <t xml:space="preserve">Microsoft Office User: </t>
        </r>
        <r>
          <rPr>
            <sz val="10"/>
            <color indexed="81"/>
            <rFont val="Calibri"/>
            <family val="2"/>
          </rPr>
          <t>based on Wang 2008, overall energy efficiency (includes energy in non-energy products like asphalt). Do that instead of using refiner report bc of the challenge of correlating all products, removing ethanol volumes, finding GJ values for each type of liquid fuel, etc.</t>
        </r>
      </text>
    </comment>
    <comment ref="D131" authorId="0" shapeId="0" xr:uid="{00000000-0006-0000-2000-000010000000}">
      <text>
        <r>
          <rPr>
            <b/>
            <sz val="9"/>
            <color indexed="81"/>
            <rFont val="Calibri"/>
            <family val="2"/>
          </rPr>
          <t>Emily Grubert:</t>
        </r>
        <r>
          <rPr>
            <sz val="9"/>
            <color indexed="81"/>
            <rFont val="Calibri"/>
            <family val="2"/>
          </rPr>
          <t xml:space="preserve">
crude, natively in bbl. http://www.eia.gov/dnav/pet/pet_crd_crpdn_adc_mbbl_a.htm</t>
        </r>
      </text>
    </comment>
    <comment ref="E131" authorId="0" shapeId="0" xr:uid="{00000000-0006-0000-2000-000011000000}">
      <text>
        <r>
          <rPr>
            <b/>
            <sz val="9"/>
            <color indexed="81"/>
            <rFont val="Calibri"/>
            <family val="2"/>
          </rPr>
          <t>Emily Grubert:</t>
        </r>
        <r>
          <rPr>
            <sz val="9"/>
            <color indexed="81"/>
            <rFont val="Calibri"/>
            <family val="2"/>
          </rPr>
          <t xml:space="preserve">
based on 2015 energy content of US crude production (Table A2): through 2014, just assumed at 5.8 mmbtu/bbl based on a 1950 estimate; http://www.eia.gov/totalenergy/data/monthly/pdf/sec13.pdf for numbers and method details</t>
        </r>
      </text>
    </comment>
    <comment ref="B132" authorId="0" shapeId="0" xr:uid="{00000000-0006-0000-2000-000012000000}">
      <text>
        <r>
          <rPr>
            <b/>
            <sz val="10"/>
            <color indexed="81"/>
            <rFont val="Calibri"/>
            <family val="2"/>
          </rPr>
          <t>Emily Grubert:</t>
        </r>
        <r>
          <rPr>
            <sz val="10"/>
            <color indexed="81"/>
            <rFont val="Calibri"/>
            <family val="2"/>
          </rPr>
          <t xml:space="preserve">
input: year 2014 crude oil inputs, https://www.eia.gov/dnav/pet/pet_pnp_wiup_dcu_nus_w.htm</t>
        </r>
      </text>
    </comment>
    <comment ref="D132" authorId="0" shapeId="0" xr:uid="{00000000-0006-0000-2000-000013000000}">
      <text>
        <r>
          <rPr>
            <b/>
            <sz val="10"/>
            <color indexed="81"/>
            <rFont val="Calibri"/>
            <family val="2"/>
          </rPr>
          <t>Emily Grubert:</t>
        </r>
        <r>
          <rPr>
            <sz val="10"/>
            <color indexed="81"/>
            <rFont val="Calibri"/>
            <family val="2"/>
          </rPr>
          <t xml:space="preserve">
input: year 2014 crude oil inputs, https://www.eia.gov/dnav/pet/pet_pnp_wiup_dcu_nus_w.htm</t>
        </r>
      </text>
    </comment>
    <comment ref="E132" authorId="0" shapeId="0" xr:uid="{00000000-0006-0000-2000-000014000000}">
      <text>
        <r>
          <rPr>
            <b/>
            <sz val="10"/>
            <color indexed="81"/>
            <rFont val="Calibri"/>
            <family val="2"/>
          </rPr>
          <t>Emily Grubert:</t>
        </r>
        <r>
          <rPr>
            <sz val="10"/>
            <color indexed="81"/>
            <rFont val="Calibri"/>
            <family val="2"/>
          </rPr>
          <t xml:space="preserve">
6.035 mmbtu/bbl for imported crude oil: http://www.eia.gov/beta/MER/index.cfm?tbl=TA2#/?f=A</t>
        </r>
      </text>
    </comment>
    <comment ref="C133" authorId="1" shapeId="0" xr:uid="{00000000-0006-0000-2000-000015000000}">
      <text>
        <r>
          <rPr>
            <b/>
            <sz val="10"/>
            <color indexed="81"/>
            <rFont val="Calibri"/>
            <family val="2"/>
          </rPr>
          <t>Microsoft Office User:</t>
        </r>
        <r>
          <rPr>
            <sz val="10"/>
            <color indexed="81"/>
            <rFont val="Calibri"/>
            <family val="2"/>
          </rPr>
          <t xml:space="preserve">
ethanol and biodiesel are listed as the product fuel, not crude input</t>
        </r>
      </text>
    </comment>
    <comment ref="D133" authorId="0" shapeId="0" xr:uid="{00000000-0006-0000-2000-000016000000}">
      <text>
        <r>
          <rPr>
            <b/>
            <sz val="9"/>
            <color indexed="81"/>
            <rFont val="Calibri"/>
            <family val="2"/>
          </rPr>
          <t>Emily Grubert:</t>
        </r>
        <r>
          <rPr>
            <sz val="9"/>
            <color indexed="81"/>
            <rFont val="Calibri"/>
            <family val="2"/>
          </rPr>
          <t xml:space="preserve">
ethanol (post-refining), natively in barrels. https://www.eia.gov/dnav/pet/pet_sum_snd_a_EPOOXE_mbbl_a_cur-2.htm annual 2014. include imports here. Looking at supply only</t>
        </r>
      </text>
    </comment>
    <comment ref="D134" authorId="0" shapeId="0" xr:uid="{00000000-0006-0000-2000-000017000000}">
      <text>
        <r>
          <rPr>
            <b/>
            <sz val="9"/>
            <color indexed="81"/>
            <rFont val="Calibri"/>
            <family val="2"/>
          </rPr>
          <t>Emily Grubert:</t>
        </r>
        <r>
          <rPr>
            <sz val="9"/>
            <color indexed="81"/>
            <rFont val="Calibri"/>
            <family val="2"/>
          </rPr>
          <t xml:space="preserve">
biodiesel (post-refining), natively in bbl. Include imports. http://www.eia.gov/biofuels/biodiesel/production/. download excel sheet and sum</t>
        </r>
      </text>
    </comment>
    <comment ref="G137" authorId="0" shapeId="0" xr:uid="{00000000-0006-0000-2000-000018000000}">
      <text>
        <r>
          <rPr>
            <b/>
            <sz val="9"/>
            <color indexed="81"/>
            <rFont val="Calibri"/>
            <family val="2"/>
          </rPr>
          <t>Emily Grubert:</t>
        </r>
        <r>
          <rPr>
            <sz val="9"/>
            <color indexed="81"/>
            <rFont val="Calibri"/>
            <family val="2"/>
          </rPr>
          <t xml:space="preserve">
AEO 2015: not clear whether 2014 data is actual or not. Quarterly coal report was stopped between 2Q 2014 and 1Q 20165.http://www.eia.gov/oiaf/aeo/tablebrowser/#release=AEO2015&amp;subject=0-AEO2015&amp;table=15-AEO2015&amp;region=0-0&amp;cases=ref2015-d021915a</t>
        </r>
      </text>
    </comment>
    <comment ref="I138" authorId="0" shapeId="0" xr:uid="{00000000-0006-0000-2000-000019000000}">
      <text>
        <r>
          <rPr>
            <b/>
            <sz val="9"/>
            <color indexed="81"/>
            <rFont val="Calibri"/>
            <family val="2"/>
          </rPr>
          <t>Emily Grubert:</t>
        </r>
        <r>
          <rPr>
            <sz val="9"/>
            <color indexed="81"/>
            <rFont val="Calibri"/>
            <family val="2"/>
          </rPr>
          <t xml:space="preserve">
produced</t>
        </r>
      </text>
    </comment>
    <comment ref="J139" authorId="0" shapeId="0" xr:uid="{00000000-0006-0000-2000-00001A000000}">
      <text>
        <r>
          <rPr>
            <b/>
            <sz val="9"/>
            <color indexed="81"/>
            <rFont val="Calibri"/>
            <family val="2"/>
          </rPr>
          <t>Emily Grubert:</t>
        </r>
        <r>
          <rPr>
            <sz val="9"/>
            <color indexed="81"/>
            <rFont val="Calibri"/>
            <family val="2"/>
          </rPr>
          <t xml:space="preserve">
est</t>
        </r>
      </text>
    </comment>
    <comment ref="I141" authorId="0" shapeId="0" xr:uid="{00000000-0006-0000-2000-00001B000000}">
      <text>
        <r>
          <rPr>
            <b/>
            <sz val="9"/>
            <color indexed="81"/>
            <rFont val="Calibri"/>
            <family val="2"/>
          </rPr>
          <t>Emily Grubert:</t>
        </r>
        <r>
          <rPr>
            <sz val="9"/>
            <color indexed="81"/>
            <rFont val="Calibri"/>
            <family val="2"/>
          </rPr>
          <t xml:space="preserve">
these are based on the coal news and markets estimates for a "high" heat content coal in each region, then adjusted downard to get the average right</t>
        </r>
      </text>
    </comment>
    <comment ref="G146" authorId="0" shapeId="0" xr:uid="{00000000-0006-0000-2000-00001C000000}">
      <text>
        <r>
          <rPr>
            <b/>
            <sz val="9"/>
            <color indexed="81"/>
            <rFont val="Calibri"/>
            <family val="2"/>
          </rPr>
          <t>Emily Grubert:</t>
        </r>
        <r>
          <rPr>
            <sz val="9"/>
            <color indexed="81"/>
            <rFont val="Calibri"/>
            <family val="2"/>
          </rPr>
          <t xml:space="preserve">
56764 from App, 10264 from Int, 6255 from West (kst), other 23973 from "other exports" e.g. coal brokers, traders, terminals</t>
        </r>
      </text>
    </comment>
    <comment ref="J147" authorId="0" shapeId="0" xr:uid="{00000000-0006-0000-2000-00001D000000}">
      <text>
        <r>
          <rPr>
            <b/>
            <sz val="9"/>
            <color indexed="81"/>
            <rFont val="Calibri"/>
            <family val="2"/>
          </rPr>
          <t>Emily Grubert:</t>
        </r>
        <r>
          <rPr>
            <sz val="9"/>
            <color indexed="81"/>
            <rFont val="Calibri"/>
            <family val="2"/>
          </rPr>
          <t xml:space="preserve">
make this estimate so that the total energy flows are correct: accounts for fact that production is different from marketed gas by the amount of nonHC gases</t>
        </r>
      </text>
    </comment>
    <comment ref="K147" authorId="0" shapeId="0" xr:uid="{00000000-0006-0000-2000-00001E000000}">
      <text>
        <r>
          <rPr>
            <b/>
            <sz val="9"/>
            <color indexed="81"/>
            <rFont val="Calibri"/>
            <family val="2"/>
          </rPr>
          <t>Emily Grubert:</t>
        </r>
        <r>
          <rPr>
            <sz val="9"/>
            <color indexed="81"/>
            <rFont val="Calibri"/>
            <family val="2"/>
          </rPr>
          <t xml:space="preserve">
marketed production. not dry production.</t>
        </r>
      </text>
    </comment>
    <comment ref="F149" authorId="0" shapeId="0" xr:uid="{00000000-0006-0000-2000-00001F000000}">
      <text>
        <r>
          <rPr>
            <b/>
            <sz val="9"/>
            <color indexed="81"/>
            <rFont val="Calibri"/>
            <family val="2"/>
          </rPr>
          <t>Emily Grubert:</t>
        </r>
        <r>
          <rPr>
            <sz val="9"/>
            <color indexed="81"/>
            <rFont val="Calibri"/>
            <family val="2"/>
          </rPr>
          <t xml:space="preserve">
419132 from CO, 311842 from NM, 261863 from WY (~half what it was in 2011)</t>
        </r>
      </text>
    </comment>
    <comment ref="F151" authorId="0" shapeId="0" xr:uid="{00000000-0006-0000-2000-000020000000}">
      <text>
        <r>
          <rPr>
            <b/>
            <sz val="9"/>
            <color indexed="81"/>
            <rFont val="Calibri"/>
            <family val="2"/>
          </rPr>
          <t>Emily Grubert:</t>
        </r>
        <r>
          <rPr>
            <sz val="9"/>
            <color indexed="81"/>
            <rFont val="Calibri"/>
            <family val="2"/>
          </rPr>
          <t xml:space="preserve">
includes about 1 million offshore: 879,737 Mmcf</t>
        </r>
      </text>
    </comment>
    <comment ref="B155" authorId="0" shapeId="0" xr:uid="{00000000-0006-0000-2000-000021000000}">
      <text>
        <r>
          <rPr>
            <b/>
            <sz val="9"/>
            <color indexed="81"/>
            <rFont val="Calibri"/>
            <family val="2"/>
          </rPr>
          <t>Emily Grubert:</t>
        </r>
        <r>
          <rPr>
            <sz val="9"/>
            <color indexed="81"/>
            <rFont val="Calibri"/>
            <family val="2"/>
          </rPr>
          <t xml:space="preserve">
https://www.eia.gov/tools/faqs/faq.cfm?id=847&amp;t=6: 4.2 mmbbl/d tight oil / shale oil in 2014, 6.1 GJ/bbl</t>
        </r>
      </text>
    </comment>
    <comment ref="B156" authorId="0" shapeId="0" xr:uid="{00000000-0006-0000-2000-000022000000}">
      <text>
        <r>
          <rPr>
            <b/>
            <sz val="9"/>
            <color indexed="81"/>
            <rFont val="Calibri"/>
            <family val="2"/>
          </rPr>
          <t>Emily Grubert:</t>
        </r>
        <r>
          <rPr>
            <sz val="9"/>
            <color indexed="81"/>
            <rFont val="Calibri"/>
            <family val="2"/>
          </rPr>
          <t xml:space="preserve">
remainder after 4.2 mmbbl/d unconv, https://www.eia.gov/dnav/pet/pet_crd_crpdn_adc_mbbl_a.htm</t>
        </r>
      </text>
    </comment>
    <comment ref="J167" authorId="0" shapeId="0" xr:uid="{00000000-0006-0000-2000-000023000000}">
      <text>
        <r>
          <rPr>
            <b/>
            <sz val="9"/>
            <color indexed="81"/>
            <rFont val="Calibri"/>
            <family val="2"/>
          </rPr>
          <t>Emily Grubert:</t>
        </r>
        <r>
          <rPr>
            <sz val="9"/>
            <color indexed="81"/>
            <rFont val="Calibri"/>
            <family val="2"/>
          </rPr>
          <t xml:space="preserve">
marketed production. not dry production.</t>
        </r>
      </text>
    </comment>
    <comment ref="C174" authorId="0" shapeId="0" xr:uid="{00000000-0006-0000-2000-000024000000}">
      <text>
        <r>
          <rPr>
            <b/>
            <sz val="9"/>
            <color indexed="81"/>
            <rFont val="Calibri"/>
            <family val="2"/>
          </rPr>
          <t>Emily Grubert:</t>
        </r>
        <r>
          <rPr>
            <sz val="9"/>
            <color indexed="81"/>
            <rFont val="Calibri"/>
            <family val="2"/>
          </rPr>
          <t xml:space="preserve">
set this to make the weighted average come out to marketed value assuming energy content of flared/repressure gas is same: basically what is egy content of all gas incl the nonHCs</t>
        </r>
      </text>
    </comment>
    <comment ref="B185" authorId="1" shapeId="0" xr:uid="{00000000-0006-0000-2000-000025000000}">
      <text>
        <r>
          <rPr>
            <sz val="10"/>
            <color indexed="81"/>
            <rFont val="Calibri"/>
            <family val="2"/>
          </rPr>
          <t>remainder is probably waste coal or similar</t>
        </r>
      </text>
    </comment>
    <comment ref="B198" authorId="0" shapeId="0" xr:uid="{00000000-0006-0000-2000-000026000000}">
      <text>
        <r>
          <rPr>
            <b/>
            <sz val="10"/>
            <color indexed="81"/>
            <rFont val="Calibri"/>
            <family val="2"/>
          </rPr>
          <t>Emily Grubert:</t>
        </r>
        <r>
          <rPr>
            <sz val="10"/>
            <color indexed="81"/>
            <rFont val="Calibri"/>
            <family val="2"/>
          </rPr>
          <t xml:space="preserve">
some of this is heat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D4" authorId="0" shapeId="0" xr:uid="{00000000-0006-0000-2300-000001000000}">
      <text>
        <r>
          <rPr>
            <b/>
            <sz val="9"/>
            <color indexed="81"/>
            <rFont val="Calibri"/>
            <family val="2"/>
          </rPr>
          <t>Emily Grubert:</t>
        </r>
        <r>
          <rPr>
            <sz val="9"/>
            <color indexed="81"/>
            <rFont val="Calibri"/>
            <family val="2"/>
          </rPr>
          <t xml:space="preserve">
I do not feel great about this assumption -- shales and general drilling are not evenly distributed</t>
        </r>
      </text>
    </comment>
    <comment ref="P4" authorId="0" shapeId="0" xr:uid="{00000000-0006-0000-2300-000002000000}">
      <text>
        <r>
          <rPr>
            <b/>
            <sz val="9"/>
            <color indexed="81"/>
            <rFont val="Calibri"/>
            <family val="2"/>
          </rPr>
          <t>Emily Grubert:</t>
        </r>
        <r>
          <rPr>
            <sz val="9"/>
            <color indexed="81"/>
            <rFont val="Calibri"/>
            <family val="2"/>
          </rPr>
          <t xml:space="preserve">
I do not feel great about this assumption -- shales and general drilling are not evenly distributed</t>
        </r>
      </text>
    </comment>
    <comment ref="D6" authorId="0" shapeId="0" xr:uid="{00000000-0006-0000-2300-000003000000}">
      <text>
        <r>
          <rPr>
            <b/>
            <sz val="9"/>
            <color indexed="81"/>
            <rFont val="Calibri"/>
            <family val="2"/>
          </rPr>
          <t>Emily Grubert:</t>
        </r>
        <r>
          <rPr>
            <sz val="9"/>
            <color indexed="81"/>
            <rFont val="Calibri"/>
            <family val="2"/>
          </rPr>
          <t xml:space="preserve">
I like this because it preserves the water balance</t>
        </r>
      </text>
    </comment>
    <comment ref="G6" authorId="0" shapeId="0" xr:uid="{00000000-0006-0000-2300-000004000000}">
      <text>
        <r>
          <rPr>
            <b/>
            <sz val="9"/>
            <color indexed="81"/>
            <rFont val="Calibri"/>
            <family val="2"/>
          </rPr>
          <t>Emily Grubert:</t>
        </r>
        <r>
          <rPr>
            <sz val="9"/>
            <color indexed="81"/>
            <rFont val="Calibri"/>
            <family val="2"/>
          </rPr>
          <t xml:space="preserve">
I like this because it preserves the water balance</t>
        </r>
      </text>
    </comment>
    <comment ref="J6" authorId="0" shapeId="0" xr:uid="{00000000-0006-0000-2300-000005000000}">
      <text>
        <r>
          <rPr>
            <b/>
            <sz val="9"/>
            <color indexed="81"/>
            <rFont val="Calibri"/>
            <family val="2"/>
          </rPr>
          <t>Emily Grubert:</t>
        </r>
        <r>
          <rPr>
            <sz val="9"/>
            <color indexed="81"/>
            <rFont val="Calibri"/>
            <family val="2"/>
          </rPr>
          <t xml:space="preserve">
I like this because it preserves the water balance</t>
        </r>
      </text>
    </comment>
    <comment ref="T13" authorId="0" shapeId="0" xr:uid="{00000000-0006-0000-2300-000006000000}">
      <text>
        <r>
          <rPr>
            <b/>
            <sz val="10"/>
            <color indexed="81"/>
            <rFont val="Calibri"/>
            <family val="2"/>
          </rPr>
          <t>Emily Grubert:</t>
        </r>
        <r>
          <rPr>
            <sz val="10"/>
            <color indexed="81"/>
            <rFont val="Calibri"/>
            <family val="2"/>
          </rPr>
          <t xml:space="preserve">
SHALE ONLY
</t>
        </r>
      </text>
    </comment>
    <comment ref="T24" authorId="0" shapeId="0" xr:uid="{00000000-0006-0000-2300-000007000000}">
      <text>
        <r>
          <rPr>
            <b/>
            <sz val="10"/>
            <color indexed="81"/>
            <rFont val="Calibri"/>
            <family val="2"/>
          </rPr>
          <t>Emily Grubert:</t>
        </r>
        <r>
          <rPr>
            <sz val="10"/>
            <color indexed="81"/>
            <rFont val="Calibri"/>
            <family val="2"/>
          </rPr>
          <t xml:space="preserve">
SHALE ONLY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J5" authorId="0" shapeId="0" xr:uid="{00000000-0006-0000-2500-000001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5" authorId="0" shapeId="0" xr:uid="{00000000-0006-0000-2500-000002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J7" authorId="0" shapeId="0" xr:uid="{00000000-0006-0000-2500-000003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7" authorId="0" shapeId="0" xr:uid="{00000000-0006-0000-2500-000004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J8" authorId="0" shapeId="0" xr:uid="{00000000-0006-0000-2500-000005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8" authorId="0" shapeId="0" xr:uid="{00000000-0006-0000-2500-000006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J9" authorId="0" shapeId="0" xr:uid="{00000000-0006-0000-2500-000007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9" authorId="0" shapeId="0" xr:uid="{00000000-0006-0000-2500-000008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J10" authorId="0" shapeId="0" xr:uid="{00000000-0006-0000-2500-000009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10" authorId="0" shapeId="0" xr:uid="{00000000-0006-0000-2500-00000A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J12" authorId="0" shapeId="0" xr:uid="{00000000-0006-0000-2500-00000B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12" authorId="0" shapeId="0" xr:uid="{00000000-0006-0000-2500-00000C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J15" authorId="0" shapeId="0" xr:uid="{00000000-0006-0000-2500-00000D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15" authorId="0" shapeId="0" xr:uid="{00000000-0006-0000-2500-00000E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J25" authorId="0" shapeId="0" xr:uid="{00000000-0006-0000-2500-00000F000000}">
      <text>
        <r>
          <rPr>
            <b/>
            <sz val="9"/>
            <color indexed="81"/>
            <rFont val="Calibri"/>
            <family val="2"/>
          </rPr>
          <t>Emily Grubert:</t>
        </r>
        <r>
          <rPr>
            <sz val="9"/>
            <color indexed="81"/>
            <rFont val="Calibri"/>
            <family val="2"/>
          </rPr>
          <t xml:space="preserve">
all augmentation water at Coso is assigned to plant 10873 but actually applies to 10873, 10874, and 10875</t>
        </r>
      </text>
    </comment>
    <comment ref="K25" authorId="0" shapeId="0" xr:uid="{00000000-0006-0000-2500-000010000000}">
      <text>
        <r>
          <rPr>
            <b/>
            <sz val="9"/>
            <color indexed="81"/>
            <rFont val="Calibri"/>
            <family val="2"/>
          </rPr>
          <t>Emily Grubert:</t>
        </r>
        <r>
          <rPr>
            <sz val="9"/>
            <color indexed="81"/>
            <rFont val="Calibri"/>
            <family val="2"/>
          </rPr>
          <t xml:space="preserve">
all augmentation water at Coso is assigned to plant 10873 but actually applies to 10873, 10874, and 10875</t>
        </r>
      </text>
    </comment>
    <comment ref="J26" authorId="0" shapeId="0" xr:uid="{00000000-0006-0000-2500-000011000000}">
      <text>
        <r>
          <rPr>
            <b/>
            <sz val="9"/>
            <color indexed="81"/>
            <rFont val="Calibri"/>
            <family val="2"/>
          </rPr>
          <t>Emily Grubert:</t>
        </r>
        <r>
          <rPr>
            <sz val="9"/>
            <color indexed="81"/>
            <rFont val="Calibri"/>
            <family val="2"/>
          </rPr>
          <t xml:space="preserve">
all augmentation water at Coso is assigned to plant 10873 but actually applies to 10873, 10874, and 10875</t>
        </r>
      </text>
    </comment>
    <comment ref="K26" authorId="0" shapeId="0" xr:uid="{00000000-0006-0000-2500-000012000000}">
      <text>
        <r>
          <rPr>
            <b/>
            <sz val="9"/>
            <color indexed="81"/>
            <rFont val="Calibri"/>
            <family val="2"/>
          </rPr>
          <t>Emily Grubert:</t>
        </r>
        <r>
          <rPr>
            <sz val="9"/>
            <color indexed="81"/>
            <rFont val="Calibri"/>
            <family val="2"/>
          </rPr>
          <t xml:space="preserve">
all augmentation water at Coso is assigned to plant 10873 but actually applies to 10873, 10874, and 10875</t>
        </r>
      </text>
    </comment>
    <comment ref="J27" authorId="0" shapeId="0" xr:uid="{00000000-0006-0000-2500-000013000000}">
      <text>
        <r>
          <rPr>
            <b/>
            <sz val="9"/>
            <color indexed="81"/>
            <rFont val="Calibri"/>
            <family val="2"/>
          </rPr>
          <t>Emily Grubert:</t>
        </r>
        <r>
          <rPr>
            <sz val="9"/>
            <color indexed="81"/>
            <rFont val="Calibri"/>
            <family val="2"/>
          </rPr>
          <t xml:space="preserve">
all augmentation water at Coso is assigned to plant 10873 but actually applies to 10873, 10874, and 10875</t>
        </r>
      </text>
    </comment>
    <comment ref="K27" authorId="0" shapeId="0" xr:uid="{00000000-0006-0000-2500-000014000000}">
      <text>
        <r>
          <rPr>
            <b/>
            <sz val="9"/>
            <color indexed="81"/>
            <rFont val="Calibri"/>
            <family val="2"/>
          </rPr>
          <t>Emily Grubert:</t>
        </r>
        <r>
          <rPr>
            <sz val="9"/>
            <color indexed="81"/>
            <rFont val="Calibri"/>
            <family val="2"/>
          </rPr>
          <t xml:space="preserve">
all augmentation water at Coso is assigned to plant 10873 but actually applies to 10873, 10874, and 10875</t>
        </r>
      </text>
    </comment>
    <comment ref="J30" authorId="0" shapeId="0" xr:uid="{00000000-0006-0000-2500-000015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30" authorId="0" shapeId="0" xr:uid="{00000000-0006-0000-2500-000016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J38" authorId="0" shapeId="0" xr:uid="{00000000-0006-0000-2500-000017000000}">
      <text>
        <r>
          <rPr>
            <b/>
            <sz val="9"/>
            <color indexed="81"/>
            <rFont val="Calibri"/>
            <family val="2"/>
          </rPr>
          <t>Emily Grubert:</t>
        </r>
        <r>
          <rPr>
            <sz val="9"/>
            <color indexed="81"/>
            <rFont val="Calibri"/>
            <family val="2"/>
          </rPr>
          <t xml:space="preserve">
average 30 L/sec</t>
        </r>
      </text>
    </comment>
    <comment ref="K38" authorId="0" shapeId="0" xr:uid="{00000000-0006-0000-2500-000018000000}">
      <text>
        <r>
          <rPr>
            <b/>
            <sz val="9"/>
            <color indexed="81"/>
            <rFont val="Calibri"/>
            <family val="2"/>
          </rPr>
          <t>Emily Grubert:</t>
        </r>
        <r>
          <rPr>
            <sz val="9"/>
            <color indexed="81"/>
            <rFont val="Calibri"/>
            <family val="2"/>
          </rPr>
          <t xml:space="preserve">
average 30 L/sec</t>
        </r>
      </text>
    </comment>
    <comment ref="J42" authorId="0" shapeId="0" xr:uid="{00000000-0006-0000-2500-000019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K42" authorId="0" shapeId="0" xr:uid="{00000000-0006-0000-2500-00001A000000}">
      <text>
        <r>
          <rPr>
            <b/>
            <sz val="9"/>
            <color indexed="81"/>
            <rFont val="Calibri"/>
            <family val="2"/>
          </rPr>
          <t>Emily Grubert:</t>
        </r>
        <r>
          <rPr>
            <sz val="9"/>
            <color indexed="81"/>
            <rFont val="Calibri"/>
            <family val="2"/>
          </rPr>
          <t xml:space="preserve">
all augmentation water at The Geysers is assigned to plant 286 but actually applies to 286, 510, 902, 7368, 7369, 10199, 10469, 50066, and 52158</t>
        </r>
      </text>
    </comment>
    <comment ref="I62" authorId="0" shapeId="0" xr:uid="{00000000-0006-0000-2500-00001B000000}">
      <text>
        <r>
          <rPr>
            <b/>
            <sz val="10"/>
            <color indexed="81"/>
            <rFont val="Calibri"/>
            <family val="2"/>
          </rPr>
          <t>Emily Grubert:</t>
        </r>
        <r>
          <rPr>
            <sz val="10"/>
            <color indexed="81"/>
            <rFont val="Calibri"/>
            <family val="2"/>
          </rPr>
          <t xml:space="preserve">
assume air cooled plants use wells or formation water</t>
        </r>
      </text>
    </comment>
    <comment ref="I64" authorId="0" shapeId="0" xr:uid="{00000000-0006-0000-2500-00001C000000}">
      <text>
        <r>
          <rPr>
            <b/>
            <sz val="10"/>
            <color indexed="81"/>
            <rFont val="Calibri"/>
            <family val="2"/>
          </rPr>
          <t>Emily Grubert:</t>
        </r>
        <r>
          <rPr>
            <sz val="10"/>
            <color indexed="81"/>
            <rFont val="Calibri"/>
            <family val="2"/>
          </rPr>
          <t xml:space="preserve">
assume air cooled plants use wells or formation water</t>
        </r>
      </text>
    </comment>
    <comment ref="I65" authorId="0" shapeId="0" xr:uid="{00000000-0006-0000-2500-00001D000000}">
      <text>
        <r>
          <rPr>
            <b/>
            <sz val="10"/>
            <color indexed="81"/>
            <rFont val="Calibri"/>
            <family val="2"/>
          </rPr>
          <t>Emily Grubert:</t>
        </r>
        <r>
          <rPr>
            <sz val="10"/>
            <color indexed="81"/>
            <rFont val="Calibri"/>
            <family val="2"/>
          </rPr>
          <t xml:space="preserve">
assume air cooled plants use wells or formation water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L11" authorId="0" shapeId="0" xr:uid="{00000000-0006-0000-0300-000001000000}">
      <text>
        <r>
          <rPr>
            <b/>
            <sz val="10"/>
            <color indexed="81"/>
            <rFont val="Calibri"/>
            <family val="2"/>
          </rPr>
          <t>Emily Grubert:</t>
        </r>
        <r>
          <rPr>
            <sz val="10"/>
            <color indexed="81"/>
            <rFont val="Calibri"/>
            <family val="2"/>
          </rPr>
          <t xml:space="preserve">
Summary excludes 2e13 m^3 estimated withdrawals for hydropower, K182</t>
        </r>
      </text>
    </comment>
    <comment ref="R11" authorId="0" shapeId="0" xr:uid="{00000000-0006-0000-0300-000002000000}">
      <text>
        <r>
          <rPr>
            <b/>
            <sz val="10"/>
            <color indexed="81"/>
            <rFont val="Calibri"/>
            <family val="2"/>
          </rPr>
          <t>Emily Grubert:</t>
        </r>
        <r>
          <rPr>
            <sz val="10"/>
            <color indexed="81"/>
            <rFont val="Calibri"/>
            <family val="2"/>
          </rPr>
          <t xml:space="preserve">
Summary excludes 2e13 m^3 estimated withdrawals for hydropower, K182</t>
        </r>
      </text>
    </comment>
    <comment ref="N118" authorId="0" shapeId="0" xr:uid="{00000000-0006-0000-0300-000003000000}">
      <text>
        <r>
          <rPr>
            <b/>
            <sz val="10"/>
            <color indexed="81"/>
            <rFont val="Calibri"/>
            <family val="2"/>
          </rPr>
          <t>Emily Grubert:</t>
        </r>
        <r>
          <rPr>
            <sz val="10"/>
            <color indexed="81"/>
            <rFont val="Calibri"/>
            <family val="2"/>
          </rPr>
          <t xml:space="preserve">
ash only</t>
        </r>
      </text>
    </comment>
    <comment ref="E137" authorId="0" shapeId="0" xr:uid="{00000000-0006-0000-0300-000004000000}">
      <text>
        <r>
          <rPr>
            <b/>
            <sz val="10"/>
            <color indexed="81"/>
            <rFont val="Calibri"/>
            <family val="2"/>
          </rPr>
          <t>Emily Grubert:</t>
        </r>
        <r>
          <rPr>
            <sz val="10"/>
            <color indexed="81"/>
            <rFont val="Calibri"/>
            <family val="2"/>
          </rPr>
          <t xml:space="preserve">
assume the reuse for HF and drilling comes from PW</t>
        </r>
      </text>
    </comment>
    <comment ref="E153" authorId="0" shapeId="0" xr:uid="{00000000-0006-0000-0300-000005000000}">
      <text>
        <r>
          <rPr>
            <b/>
            <sz val="10"/>
            <color indexed="81"/>
            <rFont val="Calibri"/>
            <family val="2"/>
          </rPr>
          <t>Emily Grubert:</t>
        </r>
        <r>
          <rPr>
            <sz val="10"/>
            <color indexed="81"/>
            <rFont val="Calibri"/>
            <family val="2"/>
          </rPr>
          <t xml:space="preserve">
assume the reuse for HF and drilling comes from PW</t>
        </r>
      </text>
    </comment>
    <comment ref="F161" authorId="0" shapeId="0" xr:uid="{00000000-0006-0000-0300-000006000000}">
      <text>
        <r>
          <rPr>
            <b/>
            <sz val="10"/>
            <color indexed="81"/>
            <rFont val="Calibri"/>
            <family val="2"/>
          </rPr>
          <t>Emily Grubert:</t>
        </r>
        <r>
          <rPr>
            <sz val="10"/>
            <color indexed="81"/>
            <rFont val="Calibri"/>
            <family val="2"/>
          </rPr>
          <t xml:space="preserve">
assume water for drilling/HF that is being taken from PW is not being withdrawn twice</t>
        </r>
      </text>
    </comment>
    <comment ref="E187" authorId="0" shapeId="0" xr:uid="{00000000-0006-0000-0300-000007000000}">
      <text>
        <r>
          <rPr>
            <b/>
            <sz val="9"/>
            <color indexed="81"/>
            <rFont val="Calibri"/>
            <family val="2"/>
          </rPr>
          <t>Emily Grubert:</t>
        </r>
        <r>
          <rPr>
            <sz val="9"/>
            <color indexed="81"/>
            <rFont val="Calibri"/>
            <family val="2"/>
          </rPr>
          <t xml:space="preserve">
net consumption: 2010-2014 annual average</t>
        </r>
      </text>
    </comment>
    <comment ref="L187" authorId="0" shapeId="0" xr:uid="{00000000-0006-0000-0300-000008000000}">
      <text>
        <r>
          <rPr>
            <b/>
            <sz val="10"/>
            <color indexed="81"/>
            <rFont val="Calibri"/>
            <family val="2"/>
          </rPr>
          <t>Emily Grubert:</t>
        </r>
        <r>
          <rPr>
            <sz val="10"/>
            <color indexed="81"/>
            <rFont val="Calibri"/>
            <family val="2"/>
          </rPr>
          <t xml:space="preserve">
This value is excluded from most summaries as it is speculative and very large</t>
        </r>
      </text>
    </comment>
    <comment ref="L247" authorId="0" shapeId="0" xr:uid="{00000000-0006-0000-0300-000009000000}">
      <text>
        <r>
          <rPr>
            <b/>
            <sz val="10"/>
            <color indexed="81"/>
            <rFont val="Calibri"/>
            <family val="2"/>
          </rPr>
          <t>Emily Grubert:</t>
        </r>
        <r>
          <rPr>
            <sz val="10"/>
            <color indexed="81"/>
            <rFont val="Calibri"/>
            <family val="2"/>
          </rPr>
          <t xml:space="preserve">
includes direct heat water loop withdrawal</t>
        </r>
      </text>
    </comment>
    <comment ref="F263" authorId="0" shapeId="0" xr:uid="{00000000-0006-0000-0300-00000A000000}">
      <text>
        <r>
          <rPr>
            <b/>
            <sz val="9"/>
            <color indexed="81"/>
            <rFont val="Calibri"/>
            <family val="2"/>
          </rPr>
          <t>Emily Grubert:</t>
        </r>
        <r>
          <rPr>
            <sz val="9"/>
            <color indexed="81"/>
            <rFont val="Calibri"/>
            <family val="2"/>
          </rPr>
          <t xml:space="preserve">
macknick et al: 0.023 m^3/MWh, 3.6 GJ/MWh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L11" authorId="0" shapeId="0" xr:uid="{00000000-0006-0000-0400-000001000000}">
      <text>
        <r>
          <rPr>
            <b/>
            <sz val="10"/>
            <color indexed="81"/>
            <rFont val="Calibri"/>
            <family val="2"/>
          </rPr>
          <t>Emily Grubert:</t>
        </r>
        <r>
          <rPr>
            <sz val="10"/>
            <color indexed="81"/>
            <rFont val="Calibri"/>
            <family val="2"/>
          </rPr>
          <t xml:space="preserve">
Summary excludes 2e13 m^3 estimated withdrawals for hydropower, K182</t>
        </r>
      </text>
    </comment>
    <comment ref="R11" authorId="0" shapeId="0" xr:uid="{00000000-0006-0000-0400-000002000000}">
      <text>
        <r>
          <rPr>
            <b/>
            <sz val="10"/>
            <color indexed="81"/>
            <rFont val="Calibri"/>
            <family val="2"/>
          </rPr>
          <t>Emily Grubert:</t>
        </r>
        <r>
          <rPr>
            <sz val="10"/>
            <color indexed="81"/>
            <rFont val="Calibri"/>
            <family val="2"/>
          </rPr>
          <t xml:space="preserve">
Summary excludes 2e13 m^3 estimated withdrawals for hydropower, K182</t>
        </r>
      </text>
    </comment>
    <comment ref="N118" authorId="0" shapeId="0" xr:uid="{00000000-0006-0000-0400-000003000000}">
      <text>
        <r>
          <rPr>
            <b/>
            <sz val="10"/>
            <color indexed="81"/>
            <rFont val="Calibri"/>
            <family val="2"/>
          </rPr>
          <t>Emily Grubert:</t>
        </r>
        <r>
          <rPr>
            <sz val="10"/>
            <color indexed="81"/>
            <rFont val="Calibri"/>
            <family val="2"/>
          </rPr>
          <t xml:space="preserve">
ash only</t>
        </r>
      </text>
    </comment>
    <comment ref="E137" authorId="0" shapeId="0" xr:uid="{00000000-0006-0000-0400-000004000000}">
      <text>
        <r>
          <rPr>
            <b/>
            <sz val="10"/>
            <color indexed="81"/>
            <rFont val="Calibri"/>
            <family val="2"/>
          </rPr>
          <t>Emily Grubert:</t>
        </r>
        <r>
          <rPr>
            <sz val="10"/>
            <color indexed="81"/>
            <rFont val="Calibri"/>
            <family val="2"/>
          </rPr>
          <t xml:space="preserve">
assume the reuse for HF and drilling comes from PW</t>
        </r>
      </text>
    </comment>
    <comment ref="F145" authorId="0" shapeId="0" xr:uid="{00000000-0006-0000-0400-000005000000}">
      <text>
        <r>
          <rPr>
            <b/>
            <sz val="10"/>
            <color indexed="81"/>
            <rFont val="Calibri"/>
            <family val="2"/>
          </rPr>
          <t>Emily Grubert:</t>
        </r>
        <r>
          <rPr>
            <sz val="10"/>
            <color indexed="81"/>
            <rFont val="Calibri"/>
            <family val="2"/>
          </rPr>
          <t xml:space="preserve">
assume water for drilling/HF that is being taken from PW is not being withdrawn twice</t>
        </r>
      </text>
    </comment>
    <comment ref="E153" authorId="0" shapeId="0" xr:uid="{00000000-0006-0000-0400-000006000000}">
      <text>
        <r>
          <rPr>
            <b/>
            <sz val="10"/>
            <color indexed="81"/>
            <rFont val="Calibri"/>
            <family val="2"/>
          </rPr>
          <t>Emily Grubert:</t>
        </r>
        <r>
          <rPr>
            <sz val="10"/>
            <color indexed="81"/>
            <rFont val="Calibri"/>
            <family val="2"/>
          </rPr>
          <t xml:space="preserve">
assume the reuse for HF and drilling comes from PW</t>
        </r>
      </text>
    </comment>
    <comment ref="F161" authorId="0" shapeId="0" xr:uid="{00000000-0006-0000-0400-000007000000}">
      <text>
        <r>
          <rPr>
            <b/>
            <sz val="10"/>
            <color indexed="81"/>
            <rFont val="Calibri"/>
            <family val="2"/>
          </rPr>
          <t>Emily Grubert:</t>
        </r>
        <r>
          <rPr>
            <sz val="10"/>
            <color indexed="81"/>
            <rFont val="Calibri"/>
            <family val="2"/>
          </rPr>
          <t xml:space="preserve">
assume water for drilling/HF that is being taken from PW is not being withdrawn twice</t>
        </r>
      </text>
    </comment>
    <comment ref="E187" authorId="0" shapeId="0" xr:uid="{00000000-0006-0000-0400-000008000000}">
      <text>
        <r>
          <rPr>
            <b/>
            <sz val="9"/>
            <color indexed="81"/>
            <rFont val="Calibri"/>
            <family val="2"/>
          </rPr>
          <t>Emily Grubert:</t>
        </r>
        <r>
          <rPr>
            <sz val="9"/>
            <color indexed="81"/>
            <rFont val="Calibri"/>
            <family val="2"/>
          </rPr>
          <t xml:space="preserve">
net consumption: 2010-2014 annual average</t>
        </r>
      </text>
    </comment>
    <comment ref="L187" authorId="0" shapeId="0" xr:uid="{00000000-0006-0000-0400-000009000000}">
      <text>
        <r>
          <rPr>
            <b/>
            <sz val="10"/>
            <color indexed="81"/>
            <rFont val="Calibri"/>
            <family val="2"/>
          </rPr>
          <t>Emily Grubert:</t>
        </r>
        <r>
          <rPr>
            <sz val="10"/>
            <color indexed="81"/>
            <rFont val="Calibri"/>
            <family val="2"/>
          </rPr>
          <t xml:space="preserve">
This value is excluded from most summaries as it is speculative and very large</t>
        </r>
      </text>
    </comment>
    <comment ref="L247" authorId="0" shapeId="0" xr:uid="{00000000-0006-0000-0400-00000A000000}">
      <text>
        <r>
          <rPr>
            <b/>
            <sz val="10"/>
            <color indexed="81"/>
            <rFont val="Calibri"/>
            <family val="2"/>
          </rPr>
          <t>Emily Grubert:</t>
        </r>
        <r>
          <rPr>
            <sz val="10"/>
            <color indexed="81"/>
            <rFont val="Calibri"/>
            <family val="2"/>
          </rPr>
          <t xml:space="preserve">
includes direct heat water loop withdrawal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C17" authorId="0" shapeId="0" xr:uid="{00000000-0006-0000-0700-000001000000}">
      <text>
        <r>
          <rPr>
            <b/>
            <sz val="10"/>
            <color indexed="81"/>
            <rFont val="Calibri"/>
            <family val="2"/>
          </rPr>
          <t>Emily Grubert:</t>
        </r>
        <r>
          <rPr>
            <sz val="10"/>
            <color indexed="81"/>
            <rFont val="Calibri"/>
            <family val="2"/>
          </rPr>
          <t xml:space="preserve">
='Intermediate o&amp;g entries'!$N$3*10^6</t>
        </r>
      </text>
    </comment>
    <comment ref="O17" authorId="0" shapeId="0" xr:uid="{00000000-0006-0000-0700-000002000000}">
      <text>
        <r>
          <rPr>
            <b/>
            <sz val="10"/>
            <color indexed="81"/>
            <rFont val="Calibri"/>
            <family val="2"/>
          </rPr>
          <t>Emily Grubert:</t>
        </r>
        <r>
          <rPr>
            <sz val="10"/>
            <color indexed="81"/>
            <rFont val="Calibri"/>
            <family val="2"/>
          </rPr>
          <t xml:space="preserve">
='Intermediate o&amp;g entries'!$N$3*10^6</t>
        </r>
      </text>
    </comment>
    <comment ref="AA17" authorId="0" shapeId="0" xr:uid="{00000000-0006-0000-0700-000003000000}">
      <text>
        <r>
          <rPr>
            <b/>
            <sz val="10"/>
            <color indexed="81"/>
            <rFont val="Calibri"/>
            <family val="2"/>
          </rPr>
          <t>Emily Grubert:</t>
        </r>
        <r>
          <rPr>
            <sz val="10"/>
            <color indexed="81"/>
            <rFont val="Calibri"/>
            <family val="2"/>
          </rPr>
          <t xml:space="preserve">
waterflooding is common: apply to all conventional production, though ithis is likely an overestimate: https://www.onepetro.org/journal-paper/SPE-129421-JPT</t>
        </r>
      </text>
    </comment>
    <comment ref="B21" authorId="0" shapeId="0" xr:uid="{00000000-0006-0000-0700-000004000000}">
      <text>
        <r>
          <rPr>
            <b/>
            <sz val="10"/>
            <color indexed="81"/>
            <rFont val="Calibri"/>
            <family val="2"/>
          </rPr>
          <t>Emily Grubert:</t>
        </r>
        <r>
          <rPr>
            <sz val="10"/>
            <color indexed="81"/>
            <rFont val="Calibri"/>
            <family val="2"/>
          </rPr>
          <t xml:space="preserve">
post-commissioning
</t>
        </r>
      </text>
    </comment>
    <comment ref="D22" authorId="0" shapeId="0" xr:uid="{00000000-0006-0000-0700-000005000000}">
      <text>
        <r>
          <rPr>
            <b/>
            <sz val="10"/>
            <color indexed="81"/>
            <rFont val="Calibri"/>
            <family val="2"/>
          </rPr>
          <t>Emily Grubert:</t>
        </r>
        <r>
          <rPr>
            <sz val="10"/>
            <color indexed="81"/>
            <rFont val="Calibri"/>
            <family val="2"/>
          </rPr>
          <t xml:space="preserve">
expect: 1/6th ngas (for volume reasons) plus a lot less because there was no new capacity added in 2014 for oil but yes for ngas</t>
        </r>
      </text>
    </comment>
    <comment ref="L22" authorId="0" shapeId="0" xr:uid="{00000000-0006-0000-0700-000006000000}">
      <text>
        <r>
          <rPr>
            <b/>
            <sz val="10"/>
            <color indexed="81"/>
            <rFont val="Calibri"/>
            <family val="2"/>
          </rPr>
          <t>Emily Grubert:</t>
        </r>
        <r>
          <rPr>
            <sz val="10"/>
            <color indexed="81"/>
            <rFont val="Calibri"/>
            <family val="2"/>
          </rPr>
          <t xml:space="preserve">
industrial ratio</t>
        </r>
      </text>
    </comment>
    <comment ref="X22" authorId="0" shapeId="0" xr:uid="{00000000-0006-0000-0700-000007000000}">
      <text>
        <r>
          <rPr>
            <b/>
            <sz val="10"/>
            <color indexed="81"/>
            <rFont val="Calibri"/>
            <family val="2"/>
          </rPr>
          <t>Emily Grubert:</t>
        </r>
        <r>
          <rPr>
            <sz val="10"/>
            <color indexed="81"/>
            <rFont val="Calibri"/>
            <family val="2"/>
          </rPr>
          <t xml:space="preserve">
industrial ratio</t>
        </r>
      </text>
    </comment>
    <comment ref="A37" authorId="0" shapeId="0" xr:uid="{00000000-0006-0000-0700-000008000000}">
      <text>
        <r>
          <rPr>
            <b/>
            <sz val="9"/>
            <color indexed="81"/>
            <rFont val="Calibri"/>
            <family val="2"/>
          </rPr>
          <t>Emily Grubert:</t>
        </r>
        <r>
          <rPr>
            <sz val="9"/>
            <color indexed="81"/>
            <rFont val="Calibri"/>
            <family val="2"/>
          </rPr>
          <t xml:space="preserve">
based on 2015 energy content of US crude production (Table A2): through 2014, just assumed at 5.8 mmbtu/bbl based on a 1950 estimate; http://www.eia.gov/totalenergy/data/monthly/pdf/sec13.pdf for numbers and method details</t>
        </r>
      </text>
    </comment>
    <comment ref="A38" authorId="0" shapeId="0" xr:uid="{00000000-0006-0000-0700-000009000000}">
      <text>
        <r>
          <rPr>
            <b/>
            <sz val="10"/>
            <color indexed="81"/>
            <rFont val="Calibri"/>
            <family val="2"/>
          </rPr>
          <t>Emily Grubert:</t>
        </r>
        <r>
          <rPr>
            <sz val="10"/>
            <color indexed="81"/>
            <rFont val="Calibri"/>
            <family val="2"/>
          </rPr>
          <t xml:space="preserve">
6.035 mmbtu/bbl for imported crude oil: http://www.eia.gov/beta/MER/index.cfm?tbl=TA2#/?f=A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C16" authorId="0" shapeId="0" xr:uid="{00000000-0006-0000-0800-000001000000}">
      <text>
        <r>
          <rPr>
            <b/>
            <sz val="10"/>
            <color rgb="FF000000"/>
            <rFont val="Calibri"/>
            <family val="2"/>
          </rPr>
          <t xml:space="preserve">Emily Grubert:
</t>
        </r>
        <r>
          <rPr>
            <sz val="10"/>
            <color rgb="FF000000"/>
            <rFont val="Calibri"/>
            <family val="2"/>
          </rPr>
          <t>freshwater only</t>
        </r>
      </text>
    </comment>
    <comment ref="O16" authorId="0" shapeId="0" xr:uid="{00000000-0006-0000-0800-000002000000}">
      <text>
        <r>
          <rPr>
            <b/>
            <sz val="10"/>
            <color indexed="81"/>
            <rFont val="Calibri"/>
            <family val="2"/>
          </rPr>
          <t xml:space="preserve">Emily Grubert:
</t>
        </r>
        <r>
          <rPr>
            <sz val="10"/>
            <color indexed="81"/>
            <rFont val="Calibri"/>
            <family val="2"/>
          </rPr>
          <t>freshwater only</t>
        </r>
      </text>
    </comment>
    <comment ref="B20" authorId="0" shapeId="0" xr:uid="{00000000-0006-0000-0800-000003000000}">
      <text>
        <r>
          <rPr>
            <b/>
            <sz val="10"/>
            <color indexed="81"/>
            <rFont val="Calibri"/>
            <family val="2"/>
          </rPr>
          <t>Emily Grubert:</t>
        </r>
        <r>
          <rPr>
            <sz val="10"/>
            <color indexed="81"/>
            <rFont val="Calibri"/>
            <family val="2"/>
          </rPr>
          <t xml:space="preserve">
post-commissioning</t>
        </r>
      </text>
    </comment>
    <comment ref="B22" authorId="0" shapeId="0" xr:uid="{00000000-0006-0000-0800-000004000000}">
      <text>
        <r>
          <rPr>
            <b/>
            <sz val="10"/>
            <color indexed="81"/>
            <rFont val="Calibri"/>
            <family val="2"/>
          </rPr>
          <t>Emily Grubert:</t>
        </r>
        <r>
          <rPr>
            <sz val="10"/>
            <color indexed="81"/>
            <rFont val="Calibri"/>
            <family val="2"/>
          </rPr>
          <t xml:space="preserve">
all imports go to conventional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O15" authorId="0" shapeId="0" xr:uid="{00000000-0006-0000-0900-000001000000}">
      <text>
        <r>
          <rPr>
            <b/>
            <sz val="10"/>
            <color indexed="81"/>
            <rFont val="Calibri"/>
            <family val="2"/>
          </rPr>
          <t>Emily Grubert:</t>
        </r>
        <r>
          <rPr>
            <sz val="10"/>
            <color indexed="81"/>
            <rFont val="Calibri"/>
            <family val="2"/>
          </rPr>
          <t xml:space="preserve">
exclude withdrawals made via produced water</t>
        </r>
      </text>
    </comment>
    <comment ref="O16" authorId="0" shapeId="0" xr:uid="{00000000-0006-0000-0900-000002000000}">
      <text>
        <r>
          <rPr>
            <b/>
            <sz val="10"/>
            <color indexed="81"/>
            <rFont val="Calibri"/>
            <family val="2"/>
          </rPr>
          <t>Emily Grubert:</t>
        </r>
        <r>
          <rPr>
            <sz val="10"/>
            <color indexed="81"/>
            <rFont val="Calibri"/>
            <family val="2"/>
          </rPr>
          <t xml:space="preserve">
exclude withdrawals made via produced water</t>
        </r>
      </text>
    </comment>
    <comment ref="B20" authorId="0" shapeId="0" xr:uid="{00000000-0006-0000-0900-000003000000}">
      <text>
        <r>
          <rPr>
            <b/>
            <sz val="10"/>
            <color indexed="81"/>
            <rFont val="Calibri"/>
            <family val="2"/>
          </rPr>
          <t>Emily Grubert:</t>
        </r>
        <r>
          <rPr>
            <sz val="10"/>
            <color indexed="81"/>
            <rFont val="Calibri"/>
            <family val="2"/>
          </rPr>
          <t xml:space="preserve">
post-commissioning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L15" authorId="0" shapeId="0" xr:uid="{00000000-0006-0000-0A00-000001000000}">
      <text>
        <r>
          <rPr>
            <b/>
            <sz val="10"/>
            <color indexed="81"/>
            <rFont val="Calibri"/>
            <family val="2"/>
          </rPr>
          <t>Emily Grubert:</t>
        </r>
        <r>
          <rPr>
            <sz val="10"/>
            <color indexed="81"/>
            <rFont val="Calibri"/>
            <family val="2"/>
          </rPr>
          <t xml:space="preserve">
corn and soy irrigation source split: table 37, FRIS 2013</t>
        </r>
      </text>
    </comment>
    <comment ref="X15" authorId="0" shapeId="0" xr:uid="{00000000-0006-0000-0A00-000002000000}">
      <text>
        <r>
          <rPr>
            <b/>
            <sz val="10"/>
            <color indexed="81"/>
            <rFont val="Calibri"/>
            <family val="2"/>
          </rPr>
          <t>Emily Grubert:</t>
        </r>
        <r>
          <rPr>
            <sz val="10"/>
            <color indexed="81"/>
            <rFont val="Calibri"/>
            <family val="2"/>
          </rPr>
          <t xml:space="preserve">
corn and soy irrigation source split: table 37, FRIS 2013</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Emily Grubert</author>
  </authors>
  <commentList>
    <comment ref="L15" authorId="0" shapeId="0" xr:uid="{00000000-0006-0000-0B00-000001000000}">
      <text>
        <r>
          <rPr>
            <b/>
            <sz val="10"/>
            <color indexed="81"/>
            <rFont val="Calibri"/>
            <family val="2"/>
          </rPr>
          <t>Emily Grubert:</t>
        </r>
        <r>
          <rPr>
            <sz val="10"/>
            <color indexed="81"/>
            <rFont val="Calibri"/>
            <family val="2"/>
          </rPr>
          <t xml:space="preserve">
corn and soy irrigation source split: table 37, FRIS 2013</t>
        </r>
      </text>
    </comment>
    <comment ref="X15" authorId="0" shapeId="0" xr:uid="{00000000-0006-0000-0B00-000002000000}">
      <text>
        <r>
          <rPr>
            <b/>
            <sz val="10"/>
            <color indexed="81"/>
            <rFont val="Calibri"/>
            <family val="2"/>
          </rPr>
          <t>Emily Grubert:</t>
        </r>
        <r>
          <rPr>
            <sz val="10"/>
            <color indexed="81"/>
            <rFont val="Calibri"/>
            <family val="2"/>
          </rPr>
          <t xml:space="preserve">
corn and soy irrigation source split: table 37, FRIS 2013</t>
        </r>
      </text>
    </comment>
    <comment ref="AB19" authorId="0" shapeId="0" xr:uid="{00000000-0006-0000-0B00-000003000000}">
      <text>
        <r>
          <rPr>
            <b/>
            <sz val="10"/>
            <color indexed="81"/>
            <rFont val="Calibri"/>
            <family val="2"/>
          </rPr>
          <t>Emily Grubert:</t>
        </r>
        <r>
          <rPr>
            <sz val="10"/>
            <color indexed="81"/>
            <rFont val="Calibri"/>
            <family val="2"/>
          </rPr>
          <t xml:space="preserve">
includes non-crop biodiesel and imports</t>
        </r>
      </text>
    </comment>
    <comment ref="AB22" authorId="0" shapeId="0" xr:uid="{00000000-0006-0000-0B00-000004000000}">
      <text>
        <r>
          <rPr>
            <b/>
            <sz val="10"/>
            <color indexed="81"/>
            <rFont val="Calibri"/>
            <family val="2"/>
          </rPr>
          <t>Emily Grubert:</t>
        </r>
        <r>
          <rPr>
            <sz val="10"/>
            <color indexed="81"/>
            <rFont val="Calibri"/>
            <family val="2"/>
          </rPr>
          <t xml:space="preserve">
this includes imports</t>
        </r>
      </text>
    </comment>
  </commentList>
</comments>
</file>

<file path=xl/sharedStrings.xml><?xml version="1.0" encoding="utf-8"?>
<sst xmlns="http://schemas.openxmlformats.org/spreadsheetml/2006/main" count="5689" uniqueCount="967">
  <si>
    <t>Freshwater</t>
  </si>
  <si>
    <t>Saline</t>
  </si>
  <si>
    <t>Quality</t>
  </si>
  <si>
    <t>Natural Gas</t>
  </si>
  <si>
    <t>Coal</t>
  </si>
  <si>
    <t>Wind</t>
  </si>
  <si>
    <t>Geothermal</t>
  </si>
  <si>
    <t>Brackish Water</t>
  </si>
  <si>
    <t>Surface</t>
  </si>
  <si>
    <t>Ground</t>
  </si>
  <si>
    <t>Reuse</t>
  </si>
  <si>
    <t>Source Water</t>
  </si>
  <si>
    <t>Oil</t>
  </si>
  <si>
    <t>Not RO Treatable</t>
  </si>
  <si>
    <t>All units in m^3</t>
  </si>
  <si>
    <t>Conventional Oil</t>
  </si>
  <si>
    <t>Conventional oil</t>
  </si>
  <si>
    <t>Unconventional oil</t>
  </si>
  <si>
    <t>Conventional natural gas</t>
  </si>
  <si>
    <t>Unconventional natural gas</t>
  </si>
  <si>
    <t>Lignite</t>
  </si>
  <si>
    <t>Unconventional Oil</t>
  </si>
  <si>
    <t>Lignite Coal</t>
  </si>
  <si>
    <t>Subbituminous (Western) Coal</t>
  </si>
  <si>
    <t>Lignite (Gulf Coast and North Dakota) Coal</t>
  </si>
  <si>
    <t>Bituminous (Appalachia, Illinois, and Rocky Mountain) Coal</t>
  </si>
  <si>
    <t>Unconventional Natural Gas</t>
  </si>
  <si>
    <t>Conventional Natural Gas</t>
  </si>
  <si>
    <t>Uranium</t>
  </si>
  <si>
    <t>Hydropower</t>
  </si>
  <si>
    <t>Solar Photovoltaic</t>
  </si>
  <si>
    <t>Solar Thermal</t>
  </si>
  <si>
    <t>Total Associated Water Volume (m^3)</t>
  </si>
  <si>
    <t>Solar</t>
  </si>
  <si>
    <t>Fuel</t>
  </si>
  <si>
    <t>Electricity</t>
  </si>
  <si>
    <t>Natural gas</t>
  </si>
  <si>
    <t>Solid and gaseous biomass</t>
  </si>
  <si>
    <t>Solar photovoltaic</t>
  </si>
  <si>
    <t>Solar thermal</t>
  </si>
  <si>
    <t>GJ</t>
  </si>
  <si>
    <t>Unconventional</t>
  </si>
  <si>
    <t>Conventional</t>
  </si>
  <si>
    <t>Liquid Fuels</t>
  </si>
  <si>
    <t>Subbituminous Coal</t>
  </si>
  <si>
    <t>Bituminous Coal</t>
  </si>
  <si>
    <t>Oil-fired Electricity</t>
  </si>
  <si>
    <t>Oil Refining</t>
  </si>
  <si>
    <t>Total</t>
  </si>
  <si>
    <t>http://www.eia.gov/electricity/annual/html/epa_03_01_b.html</t>
  </si>
  <si>
    <t>Petroleum (incl "other gases" and non-MSW other nonrenewable)</t>
  </si>
  <si>
    <t>Check</t>
  </si>
  <si>
    <t>http://www.eia.gov/electricity/data/browser/</t>
  </si>
  <si>
    <t>Total fresh</t>
  </si>
  <si>
    <t>Total reuse</t>
  </si>
  <si>
    <t>Total fresh surface</t>
  </si>
  <si>
    <t>Total fresh ground</t>
  </si>
  <si>
    <t>Fresh</t>
  </si>
  <si>
    <t>Nonfresh</t>
  </si>
  <si>
    <t>Withdrawal Intensity by Fuel Cycle, m^3/GJ consumer energy</t>
  </si>
  <si>
    <t>Liquid biofuels</t>
  </si>
  <si>
    <t>MSW</t>
  </si>
  <si>
    <t>Consumption Intensity by Fuel Cycle, m^3/GJ consumer energy</t>
  </si>
  <si>
    <t>Life Cycle Freshwater Consumption Intensity by Fuel Cycle, m^3/GJ consumer energy</t>
  </si>
  <si>
    <t>Life Cycle Freshwater Withdrawal Intensity by Fuel Cycle, m^3/GJ consumer energy</t>
  </si>
  <si>
    <t>Extraction</t>
  </si>
  <si>
    <t>Processing</t>
  </si>
  <si>
    <t>Transport</t>
  </si>
  <si>
    <t>Conversion</t>
  </si>
  <si>
    <t>Post-conversion</t>
  </si>
  <si>
    <t>m^3</t>
  </si>
  <si>
    <t>m^3/GJ consumer energy</t>
  </si>
  <si>
    <t>% of national</t>
  </si>
  <si>
    <t>Subbituminous coal</t>
  </si>
  <si>
    <t>Bituminous coal</t>
  </si>
  <si>
    <t>Delivered to consumer</t>
  </si>
  <si>
    <t>% of delivered</t>
  </si>
  <si>
    <t>Energy content by life cycle stage by fuel, % of GJ delivered to consumer</t>
  </si>
  <si>
    <t>GJ/GWh</t>
  </si>
  <si>
    <t>Physical conversion factors</t>
  </si>
  <si>
    <t>System efficiencies</t>
  </si>
  <si>
    <t>Table 10, http://www.eia.gov/electricity/state/unitedstates/</t>
  </si>
  <si>
    <t>processing</t>
  </si>
  <si>
    <t>US Total</t>
  </si>
  <si>
    <t>DFO</t>
  </si>
  <si>
    <t>RFO</t>
  </si>
  <si>
    <t>Multiple consumer product-fuels workspace</t>
  </si>
  <si>
    <t>Refined products</t>
  </si>
  <si>
    <t>Industrial heat</t>
  </si>
  <si>
    <t>btu/kWh</t>
  </si>
  <si>
    <t>natural gas</t>
  </si>
  <si>
    <t>nuclear</t>
  </si>
  <si>
    <t>petroleum</t>
  </si>
  <si>
    <t>United States Total (2014)</t>
  </si>
  <si>
    <t>Total Water Withdrawn for US Energy System, 2014</t>
  </si>
  <si>
    <t>Total Water Consumed for US Energy System, 2014</t>
  </si>
  <si>
    <t>Well Drilling</t>
  </si>
  <si>
    <t>Total volume</t>
  </si>
  <si>
    <t>Assumed gwater</t>
  </si>
  <si>
    <t>Assumed swater</t>
  </si>
  <si>
    <t>Assumed recycled water</t>
  </si>
  <si>
    <t>Hydraulic Fracturing</t>
  </si>
  <si>
    <t>Assumed fresh</t>
  </si>
  <si>
    <t>Assumed brackish</t>
  </si>
  <si>
    <t>Assumed saline</t>
  </si>
  <si>
    <t>Assumed not RO treatable</t>
  </si>
  <si>
    <t>EOR</t>
  </si>
  <si>
    <t>Gas</t>
  </si>
  <si>
    <t>million m^3</t>
  </si>
  <si>
    <t>Chen and Carter 2016 with Kondash, Vengosh o/g split</t>
  </si>
  <si>
    <t>value</t>
  </si>
  <si>
    <t>unit</t>
  </si>
  <si>
    <t>source</t>
  </si>
  <si>
    <t>derived from Chen and Carter 2016 figures, used to generate weighted average rather than the unweighted median reported in the paper</t>
  </si>
  <si>
    <t>assume nonrecycled water is fresh</t>
  </si>
  <si>
    <t>using Chen and Carter 2016 with Kondash, Vengosh o/g split by state; use ratio of gwater to swater looking at TX and PA breakdown; TX is about 15% gwater as of 2008 (nicot, scanlon 2012); 40% of 2014 production is eagle ford (based on EIA production volumes, assuming all new oil is EF (and permian probably uses gwater too)), eagle ford uses almost entirely gwater (nicot et al 2014)</t>
  </si>
  <si>
    <t>using Chen and Carter 2016 with Kondash, Vengosh o/g split by state; Eagle Ford uses gwater; Bakken is p much surface (https://www.undeerc.org/bakken/Water-Consumption-in-the-Bakken.aspx)</t>
  </si>
  <si>
    <t>use ratio of bakken to eagle ford oil water -- bakken p much surface, EF p much gwater. account for 75% by themselves</t>
  </si>
  <si>
    <t>use ratio of gwater to swater looking at TX and PA breakdown; account for about 67% by themselves; PA is basically all gas, all surface water</t>
  </si>
  <si>
    <t>Veil 2014 0.6% PW used for beneficial reuse (assume all drilling) multiplied by Kondash, Vengosh o/g split</t>
  </si>
  <si>
    <t>Produced Water</t>
  </si>
  <si>
    <t>Veil 2014 + my USGS PW map-based estimates of quality</t>
  </si>
  <si>
    <t>Veil 2014 + definitional gwater</t>
  </si>
  <si>
    <t>Veil 2014 w/ WOR assumption fill in</t>
  </si>
  <si>
    <t>Veil 2014 w/ WGR assumption fill in</t>
  </si>
  <si>
    <t>definitional gwater</t>
  </si>
  <si>
    <t>Produced Water, Unconventional</t>
  </si>
  <si>
    <t>Kondash, Vengosh 2015 with adjustments to get single year estimate</t>
  </si>
  <si>
    <t>Kondash, Vengosh 2015 with my quality estimates</t>
  </si>
  <si>
    <t>**ok for 2014</t>
  </si>
  <si>
    <t>*adjusted to 2014 production</t>
  </si>
  <si>
    <t>Produced Water, Conventional</t>
  </si>
  <si>
    <t>total less unconventional</t>
  </si>
  <si>
    <t>assume any nonrecycled is fresh; likely any brackish water is produced water and thus already counted</t>
  </si>
  <si>
    <t>Grubert et al 2012, 0.7 L/GJ (based on Texas)</t>
  </si>
  <si>
    <t>assume same ratio as frac</t>
  </si>
  <si>
    <t>assume same ratio of PW is the PW used for EOR</t>
  </si>
  <si>
    <t>Veil 2014 adjusted from '12 to '14</t>
  </si>
  <si>
    <t>http://www.eia.gov/electricity/data/browser/#/topic/0?agg=2,0,1&amp;fuel=vtvo&amp;geo=g&amp;sec=g&amp;linechart=ELEC.GEN.ALL-US-99.A~ELEC.GEN.COW-US-99.A~ELEC.GEN.NG-US-99.A~ELEC.GEN.NUC-US-99.A~ELEC.GEN.HYC-US-99.A~ELEC.GEN.WND-US-99.A&amp;columnchart=ELEC.GEN.ALL-US-99.A~ELEC.GEN.COW-US-99.A~ELEC.GEN.NG-US-99.A~ELEC.GEN.NUC-US-99.A~ELEC.GEN.HYC-US-99.A~ELEC.GEN.WND-US-99.A&amp;map=ELEC.GEN.ALL-US-99.A&amp;freq=A&amp;start=2013&amp;end=2014&amp;ctype=linechart&amp;ltype=pin&amp;rtype=s&amp;pin=&amp;rse=0&amp;maptype=0</t>
  </si>
  <si>
    <t>2014 Net Generation (GWh)</t>
  </si>
  <si>
    <t>Pumped storage</t>
  </si>
  <si>
    <t>difference between EIA sum and my sum</t>
  </si>
  <si>
    <t>Ethanol</t>
  </si>
  <si>
    <t>Biodiesel</t>
  </si>
  <si>
    <t>Energy content</t>
  </si>
  <si>
    <t>Sulfur content</t>
  </si>
  <si>
    <t>Ash content</t>
  </si>
  <si>
    <t>from gas wells</t>
  </si>
  <si>
    <t>from oil wells</t>
  </si>
  <si>
    <t>from shale gas wells</t>
  </si>
  <si>
    <t>from coalbed methane wells</t>
  </si>
  <si>
    <t>http://www.eia.gov/dnav/ng/ng_prod_sum_a_EPG0_FGC_mmcf_a.htm</t>
  </si>
  <si>
    <t>http://www.eia.gov/dnav/ng/ng_prod_sum_a_EPG0_FGS_mmcf_a.htm</t>
  </si>
  <si>
    <t>million cubic feet, gross withdrawal</t>
  </si>
  <si>
    <t>http://www.eia.gov/dnav/ng/ng_prod_sum_a_EPG0_FGO_mmcf_a.htm</t>
  </si>
  <si>
    <t>http://www.eia.gov/dnav/ng/ng_prod_sum_a_EPG0_FGG_mmcf_a.htm</t>
  </si>
  <si>
    <t>used for repressuring</t>
  </si>
  <si>
    <t>mmcf</t>
  </si>
  <si>
    <t>Gross fuel extraction</t>
  </si>
  <si>
    <t>Fuel consumed during processing</t>
  </si>
  <si>
    <t>vented and flared</t>
  </si>
  <si>
    <t>https://www.eia.gov/tools/glossary/?id=natural%20gas</t>
  </si>
  <si>
    <t>&lt;- which ngas volumes should be removed from gross withd to get marketed values</t>
  </si>
  <si>
    <t>Marketed fuel</t>
  </si>
  <si>
    <t>nonhydrocarbon gases removed</t>
  </si>
  <si>
    <t>&lt;-assume this has no GJ value: water, co2, He, H2S, N2</t>
  </si>
  <si>
    <t>Appalachia</t>
  </si>
  <si>
    <t>Million short tons</t>
  </si>
  <si>
    <t>Waste coal</t>
  </si>
  <si>
    <t>Imports</t>
  </si>
  <si>
    <t>Exports</t>
  </si>
  <si>
    <t>FGD</t>
  </si>
  <si>
    <t>Number of GJ involved in each life cycle stage by fuel: 2014</t>
  </si>
  <si>
    <t xml:space="preserve"> </t>
  </si>
  <si>
    <t>btu/cf</t>
  </si>
  <si>
    <t>GJ/mmbtu</t>
  </si>
  <si>
    <t>estimated electricity T&amp;D loss, % of net generation, 2014</t>
  </si>
  <si>
    <t>2014, http://www.eia.gov/electricity/annual/html/epa_08_01.html</t>
  </si>
  <si>
    <t>consumer heat content</t>
  </si>
  <si>
    <t>http://www.eia.gov/beta/MER/index.cfm?tbl=TA4#/?f=A&amp;start=200001</t>
  </si>
  <si>
    <t>2014: http://www.eia.gov/beta/MER/index.cfm?tbl=TA4#/?f=A&amp;start=200001</t>
  </si>
  <si>
    <t>2014: http://www.eia.gov/beta/MER/index.cfm?tbl=TA5#/?f=A</t>
  </si>
  <si>
    <t>mmbtu/short ton</t>
  </si>
  <si>
    <t>lb so2/mmbtu</t>
  </si>
  <si>
    <t>2014 Net Generation (GJ)</t>
  </si>
  <si>
    <t>**assigning exports: http://www.eia.gov/coal/annual/pdf/table8.pdf</t>
  </si>
  <si>
    <t>As egy% of main fuel type (pre-exports)</t>
  </si>
  <si>
    <t>Million short tons not exported</t>
  </si>
  <si>
    <t>GJ not exported</t>
  </si>
  <si>
    <t>Export-adjusted implied gen or output, GJ</t>
  </si>
  <si>
    <t>check:</t>
  </si>
  <si>
    <t xml:space="preserve">missing: </t>
  </si>
  <si>
    <t xml:space="preserve">imports at </t>
  </si>
  <si>
    <t>exports at</t>
  </si>
  <si>
    <t>mmcf, 2014</t>
  </si>
  <si>
    <t>production at</t>
  </si>
  <si>
    <t>marketed at</t>
  </si>
  <si>
    <t>http://www.eia.gov/dnav/ng/ng_move_impc_s1_a.htm</t>
  </si>
  <si>
    <t>http://www.eia.gov/dnav/ng/ng_move_expc_s1_a.htm</t>
  </si>
  <si>
    <t>production less nonHC gases</t>
  </si>
  <si>
    <t>assume heat value</t>
  </si>
  <si>
    <t>based on http://www.eia.gov/beta/MER/index.cfm?tbl=TA4#/?f=A&amp;start=200001, number for production required to make the marketed (clean) gas number correct (see c57-64)</t>
  </si>
  <si>
    <t>2014 Production (GJ)</t>
  </si>
  <si>
    <t>Mmbbl</t>
  </si>
  <si>
    <t>Energy content (GJ/bbl)</t>
  </si>
  <si>
    <t>http://www.eia.gov/beta/MER/index.cfm?tbl=TA3#/?f=A&amp;start=1991</t>
  </si>
  <si>
    <t>http://www.eia.gov/totalenergy/data/monthly/pdf/sec13.pdf</t>
  </si>
  <si>
    <t>gal/bbl</t>
  </si>
  <si>
    <t>Withdrawal</t>
  </si>
  <si>
    <t>Consumption</t>
  </si>
  <si>
    <t>Industrial self-supplied water withdrawals, 2005, by state: http://water.usgs.gov/edu/wateruse/pdf/wuindustrial-2005.pdf</t>
  </si>
  <si>
    <t>Approach: use the gwater/swater and fresh/saline split based on splits in the states accounting for most refining?</t>
  </si>
  <si>
    <t>Jacobs Consultancy 2016: ~10% US refining production uses once through cooling</t>
  </si>
  <si>
    <t>Jacobs Consultancy 2016</t>
  </si>
  <si>
    <t>refineries basis (#, top 135, can have more than one source)</t>
  </si>
  <si>
    <t>city/muni water</t>
  </si>
  <si>
    <t>groundwater</t>
  </si>
  <si>
    <t>1x seawater</t>
  </si>
  <si>
    <t>1x thru river water</t>
  </si>
  <si>
    <t>surface water</t>
  </si>
  <si>
    <t>2005: public supply is 1/3 gwater, 2/3 surface water, http://water.usgs.gov/edu/wugw.html</t>
  </si>
  <si>
    <t>Jacobs Consultancy 2016: 1.5 bbl/bbl water to crude. this aligns with 2006 MECS view of chemicals-included water use</t>
  </si>
  <si>
    <t>Since we estimate about 50% of water consumption as due to cooling tower makeup and 10% of refining production uses 1x through</t>
  </si>
  <si>
    <t>and based on Walker et al, Buchan Arena, and Nacheva, we est. ~10 gal/bbl for cooling makeup…</t>
  </si>
  <si>
    <t>and assuming cooling towers consume 90% of withd and 1x through consumes 10% of withd…</t>
  </si>
  <si>
    <t>and assuming 1/3 of 1x through is seawater and 2/3 is surface freshwater…</t>
  </si>
  <si>
    <t>consumption</t>
  </si>
  <si>
    <t>% of production</t>
  </si>
  <si>
    <t>closed loop</t>
  </si>
  <si>
    <t>open loop</t>
  </si>
  <si>
    <t>average</t>
  </si>
  <si>
    <t>--&gt; so say that open loop consumption is 1% of 50% of total consumption and that 1/3 is seawater and 2/3 is surface freshwater</t>
  </si>
  <si>
    <t>total contribution to average</t>
  </si>
  <si>
    <t>from once-through cooling</t>
  </si>
  <si>
    <t>withd</t>
  </si>
  <si>
    <t>cons</t>
  </si>
  <si>
    <t>from closed loop cooling</t>
  </si>
  <si>
    <t>10x cons</t>
  </si>
  <si>
    <t>1% of cooling total</t>
  </si>
  <si>
    <t>No: look at what the water is for. Likely almost entirely freshwater given recirculation, process needs, etc. -- in many cases likely treated past potable. So assume all fresh except seawater.</t>
  </si>
  <si>
    <t>non-once through:</t>
  </si>
  <si>
    <t>2014 weighted API gravity:, 2015 is 31.68 http://www.eia.gov/dnav/pet/pet_pnp_crq_dcu_nus_a.htm</t>
  </si>
  <si>
    <t>OPGEE: for 31.77 API gravity, HHV is 6.149 (linear extrapolation): why the difference? likely the crude way dn include liquids. 6.151 est. for the 2015 gravity via OPGEE, which dn match EIA published value for 2015</t>
  </si>
  <si>
    <t>Post-combustion ash handling</t>
  </si>
  <si>
    <t>Coal preparation</t>
  </si>
  <si>
    <t>Coal Total</t>
  </si>
  <si>
    <t>Assumptions</t>
  </si>
  <si>
    <t>*all water used for ponding solid waste products is fresh and is 100% consumed</t>
  </si>
  <si>
    <t>Consumption (m^3)</t>
  </si>
  <si>
    <t>Withdrawal (m^3)</t>
  </si>
  <si>
    <t>Allocating FGD water across coal types:</t>
  </si>
  <si>
    <t>*use scrubbed:unscrubbed comparisons for plants using more than 90% BIT, SUB, or LIG and calc water use, then use weighted averages to allocate (see waste byproduct workbook)</t>
  </si>
  <si>
    <t>surface</t>
  </si>
  <si>
    <t>withdrawal</t>
  </si>
  <si>
    <t>total</t>
  </si>
  <si>
    <t>gal/m^3</t>
  </si>
  <si>
    <t>2014 Delivered to Consumer (GJ)</t>
  </si>
  <si>
    <t>Coal breakdown of MWh generated (EIA 923)</t>
  </si>
  <si>
    <t>Bituminous</t>
  </si>
  <si>
    <t>Subbituminous</t>
  </si>
  <si>
    <t>% of coal electricity</t>
  </si>
  <si>
    <t>MWh</t>
  </si>
  <si>
    <t>As GJ</t>
  </si>
  <si>
    <t>Match?</t>
  </si>
  <si>
    <t>crude into a refinery</t>
  </si>
  <si>
    <t>http://www.eia.gov/beta/MER/index.cfm?tbl=TA2#/?f=A</t>
  </si>
  <si>
    <t>ignore the exports here: assume imports = total - production</t>
  </si>
  <si>
    <t>fresh</t>
  </si>
  <si>
    <t>m^3/GJ</t>
  </si>
  <si>
    <t>***be really careful about including other uses of natural gas in the final GJ value</t>
  </si>
  <si>
    <t>gas PW as % of total</t>
  </si>
  <si>
    <t>55% of total consumed</t>
  </si>
  <si>
    <t>45% of total for EOR</t>
  </si>
  <si>
    <t>assuming all gas PW is consumed: then for oil alone,</t>
  </si>
  <si>
    <t>consumed</t>
  </si>
  <si>
    <t>not consumed (EOR)</t>
  </si>
  <si>
    <t>Veil 2014 adjusted from '12 to '14 based on proportion of PW; source is produced water</t>
  </si>
  <si>
    <t>Veil 2014 adjusted from '12 to '14 based on ratio of fresh to PW for EOR in 2012; "makeup water"</t>
  </si>
  <si>
    <t>assume recycled water is saline up until run out from PW, then not RO treatable</t>
  </si>
  <si>
    <t>Shale / tight gas</t>
  </si>
  <si>
    <t>Coalbed methane</t>
  </si>
  <si>
    <t>NAP updated to 2014 production: https://www.nap.edu/read/12915/chapter/4#34 Table 2.1</t>
  </si>
  <si>
    <t>assume max possible quality given breakout</t>
  </si>
  <si>
    <t>for conventional oil alone</t>
  </si>
  <si>
    <t>*Leonard 1991: 65-70% of prep water is surface. assume 65%. Also note this is similar to both public supply and ag numbers.</t>
  </si>
  <si>
    <t>https://www.eia.gov/dnav/ng/ng_cons_sum_dcu_nus_a.htm</t>
  </si>
  <si>
    <t>Residential/commercial heat and vehicles</t>
  </si>
  <si>
    <t>**assume electricity is the GJ value throughout: do not apply efficiency factor</t>
  </si>
  <si>
    <t>Solid biomass and RDF</t>
  </si>
  <si>
    <t>EIA 923, "SUB"</t>
  </si>
  <si>
    <t>EIA 923, "BIT"</t>
  </si>
  <si>
    <t>EIA 923, "LIG"</t>
  </si>
  <si>
    <t>Northern Great Plains</t>
  </si>
  <si>
    <t>Illinois</t>
  </si>
  <si>
    <t>Gulf Coast</t>
  </si>
  <si>
    <t>Rocky Mountain Region</t>
  </si>
  <si>
    <t>*includes T&amp;D (electricity) loss</t>
  </si>
  <si>
    <t>assume that lease and plant fuel are not transported by pipeline</t>
  </si>
  <si>
    <t>pipeline and distribution use</t>
  </si>
  <si>
    <t>million cubic feet</t>
  </si>
  <si>
    <t>assume that lease fuel is not processed at processing facilities</t>
  </si>
  <si>
    <t>plant fuel</t>
  </si>
  <si>
    <t>lease fuel</t>
  </si>
  <si>
    <t>gross withdrawals/production</t>
  </si>
  <si>
    <t>https://www.eia.gov/dnav/ng/ng_prod_sum_a_EPG0_FGW_mmcf_a.htm</t>
  </si>
  <si>
    <t>https://www.eia.gov/dnav/ng/ng_prod_pp_a_EPG0_ygp_mmcf_a.htm</t>
  </si>
  <si>
    <t>natural gas processed</t>
  </si>
  <si>
    <t>https://www.eia.gov/dnav/ng/ng_prod_sum_a_EPG0_VGQ_mmcf_a.htm</t>
  </si>
  <si>
    <t>https://www.eia.gov/dnav/ng/ng_prod_sum_a_EPG0_VGM_mmcf_a.htm</t>
  </si>
  <si>
    <t>transmission</t>
  </si>
  <si>
    <t>gas transmitted = dry production + net imports</t>
  </si>
  <si>
    <t>dry production</t>
  </si>
  <si>
    <t>https://www.eia.gov/dnav/ng/ng_prod_sum_a_EPG0_FPD_mmcf_a.htm</t>
  </si>
  <si>
    <t>imports</t>
  </si>
  <si>
    <t>https://www.eia.gov/dnav/ng/ng_move_state_a_EPG0_IM0_Mmcf_a.htm</t>
  </si>
  <si>
    <t>exports</t>
  </si>
  <si>
    <t>https://www.eia.gov/dnav/ng/ng_move_state_a_EPG0_EEX_Mmcf_a.htm</t>
  </si>
  <si>
    <t>assume all dry production is shipped in transmission lines, imports and exports exit and enter from transmission and both count towards GJ moved</t>
  </si>
  <si>
    <t>https://www.eia.gov/cfapps/ngqs/ngqs.cfm?f_report=RP7&amp;f_sortby=ACI&amp;f_items=&amp;f_year_start=2014&amp;f_year_end=2014&amp;f_show_compid=Name&amp;f_fullscreen=</t>
  </si>
  <si>
    <t>million cubic feet working capacity</t>
  </si>
  <si>
    <t xml:space="preserve">salt dome 2014 </t>
  </si>
  <si>
    <t>Steel making (Met coal)</t>
  </si>
  <si>
    <t>Electricity (Thermal coal)</t>
  </si>
  <si>
    <t>https://www.eia.gov/coal/production/quarterly/pdf/t32p01p1.pdf</t>
  </si>
  <si>
    <t>Table 32</t>
  </si>
  <si>
    <t>million short tons</t>
  </si>
  <si>
    <t>coke plants (met coal)</t>
  </si>
  <si>
    <t>electric power sector (thermal coal)</t>
  </si>
  <si>
    <t>other thermal use</t>
  </si>
  <si>
    <t>https://www.eia.gov/coal/production/quarterly/pdf/0121154q.pdf</t>
  </si>
  <si>
    <t>Table 43</t>
  </si>
  <si>
    <t>Table 44</t>
  </si>
  <si>
    <t>avg btu/lb received at commercial and institutional users, US 2014</t>
  </si>
  <si>
    <t>avg btu/lb received at mfg and coke plants, US 2014</t>
  </si>
  <si>
    <t>https://www.eia.gov/coal/production/quarterly/pdf/tes3p01p1.pdf</t>
  </si>
  <si>
    <t>Table ES-3</t>
  </si>
  <si>
    <t>coal receipts at coal refining plants</t>
  </si>
  <si>
    <t>fuel consumption for electricity</t>
  </si>
  <si>
    <t>mmbtu</t>
  </si>
  <si>
    <t>source: EIA 923/860 generation and fuel data, 2014</t>
  </si>
  <si>
    <t>avg btu/lb</t>
  </si>
  <si>
    <t>filtered: BIT, LIG, SC, SUB, WC (incl. synthetic and waste coal, SC and WC)</t>
  </si>
  <si>
    <t>other plants are captured in "other thermal use"</t>
  </si>
  <si>
    <t>as a check: EIA 923/860 net gen (MWh)</t>
  </si>
  <si>
    <t>MWh difference with value on Energy-based allocation data page</t>
  </si>
  <si>
    <t>higher in the master file: likely due to rounding</t>
  </si>
  <si>
    <t>Other thermal use</t>
  </si>
  <si>
    <t>filtered: electric utility, NAICS-22 cogen, NAICS-22 non-cogen (sector name), per definitions in https://www.eia.gov/coal/production/quarterly/pdf/t32p01p1.pdf</t>
  </si>
  <si>
    <t>*assume this is all bit based on heat rate and also the amount of coal implied to have been consumed by rank in 923 vs production from quarterly coal report</t>
  </si>
  <si>
    <t>*met is included in "delivered to consumer" but not "conversion" because no power plant cooling is required; other thermal use is assumed to be all bit based on energy density and is included in conversion because they are largely CHP or industrial heat plants; not included in post-conversion; included as-is in "delivered to consumer" (i.e. no efficiency factor is taken)</t>
  </si>
  <si>
    <t>*just assume all gas is fully mixed at this level. Note that for specific processing stages need to get more specific about which gas this is e.g. bc shale gas has little sulfur</t>
  </si>
  <si>
    <t>*includes non-electricity uses</t>
  </si>
  <si>
    <t>Est. primary energy</t>
  </si>
  <si>
    <t>2014 recorded primary energy</t>
  </si>
  <si>
    <t>quads</t>
  </si>
  <si>
    <t>https://www.eia.gov/totalenergy/data/browser/?tbl=T01.01#/?f=A&amp;start=1949&amp;end=2016&amp;charted=4-6-7-14</t>
  </si>
  <si>
    <t>Fossil GJ</t>
  </si>
  <si>
    <t>Nuclear GJ</t>
  </si>
  <si>
    <t>Renewable GJ</t>
  </si>
  <si>
    <t>% of discrepancy</t>
  </si>
  <si>
    <t>Source of 2014 records</t>
  </si>
  <si>
    <t>Production GJ</t>
  </si>
  <si>
    <t>estimate % of record</t>
  </si>
  <si>
    <t>Biofuels</t>
  </si>
  <si>
    <t>Other biomass</t>
  </si>
  <si>
    <t>Hydro</t>
  </si>
  <si>
    <t>**quads--&gt;GJ**</t>
  </si>
  <si>
    <t>**quads consumed**</t>
  </si>
  <si>
    <t>*note: EIA uses 9510 btu/kWh as the heat rate for renewable electricity</t>
  </si>
  <si>
    <t>*remaining discrepancy is likely:</t>
  </si>
  <si>
    <t>*solar thermal for heat</t>
  </si>
  <si>
    <t>*geothermal for heat</t>
  </si>
  <si>
    <t>*biomass for heat</t>
  </si>
  <si>
    <t>*deliveries include imports, extraction GJ applies fuel ethanol feedstock energy density that is about double the ethanol (https://www.eia.gov/totalenergy/data/browser/?tbl=TA3#/?f=A&amp;start=1991, table a3)</t>
  </si>
  <si>
    <t>Biogas</t>
  </si>
  <si>
    <t>NOTE this is utility-scale facilities only, though all sectors.</t>
  </si>
  <si>
    <t>note this does not include sub-utility scale facilities</t>
  </si>
  <si>
    <t>https://www.eia.gov/totalenergy/data/browser/index.php?tbl=T03.01#/?f=A&amp;start=2013&amp;end=2014&amp;charted=6-12-15</t>
  </si>
  <si>
    <t>Processing Gain</t>
  </si>
  <si>
    <t>*domestic only. Imported oil is considered conventional for these purposes. Conversion includes proportional processing gain.</t>
  </si>
  <si>
    <t>Pipeline Transportation</t>
  </si>
  <si>
    <t>shale gas wells</t>
  </si>
  <si>
    <t>coalbed wells</t>
  </si>
  <si>
    <t>Shale</t>
  </si>
  <si>
    <t>Coalbed</t>
  </si>
  <si>
    <t>Solid Biomass and RDF</t>
  </si>
  <si>
    <t>OIL-TOTAL</t>
  </si>
  <si>
    <t>Major Process</t>
  </si>
  <si>
    <t>Specific Process</t>
  </si>
  <si>
    <t>Total Water Consumed m^3</t>
  </si>
  <si>
    <t>Total Water Withdrawn m^3</t>
  </si>
  <si>
    <t>GJ at stage</t>
  </si>
  <si>
    <t>Freshwater %</t>
  </si>
  <si>
    <t>Brackish %</t>
  </si>
  <si>
    <t>Saline %</t>
  </si>
  <si>
    <t>Not RO Treatable %</t>
  </si>
  <si>
    <t>Qual Check</t>
  </si>
  <si>
    <t>Surface Water %</t>
  </si>
  <si>
    <t>Groundwater %</t>
  </si>
  <si>
    <t>Reuse %</t>
  </si>
  <si>
    <t>Source Check</t>
  </si>
  <si>
    <t>TOTAL</t>
  </si>
  <si>
    <t>Drilling</t>
  </si>
  <si>
    <t>Hydraulic fracturing</t>
  </si>
  <si>
    <t>Water and steam flooding</t>
  </si>
  <si>
    <t>Produced water</t>
  </si>
  <si>
    <t>Salt cavern storage</t>
  </si>
  <si>
    <t>Tanker ship ballast</t>
  </si>
  <si>
    <t>Refining</t>
  </si>
  <si>
    <t>Oil-fired power plant cooling</t>
  </si>
  <si>
    <t>Non-steam use</t>
  </si>
  <si>
    <t>Ship cooling</t>
  </si>
  <si>
    <t>not estimated</t>
  </si>
  <si>
    <t>Combustion</t>
  </si>
  <si>
    <t>Resource-specific data</t>
  </si>
  <si>
    <t>Conversion factors</t>
  </si>
  <si>
    <t>fraction conventional oil produced water consumed: force all to conventional oil because of tight oil definition and use for EOR</t>
  </si>
  <si>
    <t>GJ/bbl, production</t>
  </si>
  <si>
    <t>GJ/bbl, into refinery</t>
  </si>
  <si>
    <t>Data</t>
  </si>
  <si>
    <t>mmbbl refinery receipts by tanker</t>
  </si>
  <si>
    <t>(https://www.eia.gov/dnav/pet/pet_pnp_caprec_dcu_nus_a.htm)</t>
  </si>
  <si>
    <t>GWh from petcoke</t>
  </si>
  <si>
    <t>Table 3.1A (2014), https://www.eia.gov/electricity/annual/html/epa_03_01_a.html</t>
  </si>
  <si>
    <t>mmbbl stored in salt caverns, 2014 (SPR)</t>
  </si>
  <si>
    <t>https://energy.gov/fe/services/petroleum-reserves/strategic-petroleum-reserve/spr-quick-facts-and-faqs#PreviousMilestones</t>
  </si>
  <si>
    <t>Best guess: 707.21 mmbbl 2008 - 5.4 mmbbl post Gustav - 30.64 mmbbl June 2011 IEA release - 5 mmbbl 2014 test sale</t>
  </si>
  <si>
    <t>mmbbl stored in salt caverns, 2014 (LOOP)</t>
  </si>
  <si>
    <t>https://www.loopllc.com/Services/Cavern-Storage</t>
  </si>
  <si>
    <t>as with ngas: use capacity instead of storage because this is a rapid-cycle facility</t>
  </si>
  <si>
    <t>mmbbl crude received via pipeline at refineries, 2014</t>
  </si>
  <si>
    <t>https://www.eia.gov/dnav/pet/pet_pnp_caprec_dcu_nus_a.htm</t>
  </si>
  <si>
    <t>mmbbl crude received via tankers at refineries, 2014</t>
  </si>
  <si>
    <t>mmbbl processing gain, 2014</t>
  </si>
  <si>
    <t>https://www.eia.gov/totalenergy/data/browser/index.php?tbl=T01.01#/?f=A&amp;start=2014&amp;end=2015&amp;charted=4-6-7-14</t>
  </si>
  <si>
    <t>Table 3.1 petroleum overview</t>
  </si>
  <si>
    <t>bbl oil produced, 2014</t>
  </si>
  <si>
    <t>https://www.eia.gov/dnav/pet/pet_crd_crpdn_adc_mbbl_a.htm</t>
  </si>
  <si>
    <t>gal water for hydrostatic testing oil pipelines, 2014</t>
  </si>
  <si>
    <t>m^3 for tanker ship ballast</t>
  </si>
  <si>
    <t>Corn irrigation for ethanol</t>
  </si>
  <si>
    <t>Soybean irrigation for biodiesel</t>
  </si>
  <si>
    <t>Corn irrigation for biodiesel</t>
  </si>
  <si>
    <t>Crop-to-oil conversions</t>
  </si>
  <si>
    <t>Ethanol biorefining</t>
  </si>
  <si>
    <t>Oil-to-biodiesel refining</t>
  </si>
  <si>
    <t>Ethanol combustion</t>
  </si>
  <si>
    <t>Biodiesel combustion</t>
  </si>
  <si>
    <t>mmbtu/bbl ethanol feedstock</t>
  </si>
  <si>
    <t>https://www.eia.gov/totalenergy/data/browser/?tbl=TA3#/?f=A&amp;start=1991</t>
  </si>
  <si>
    <t>mmbtu/bbl ethanol</t>
  </si>
  <si>
    <t>bushel corn/gal ethanol</t>
  </si>
  <si>
    <t>value fraction for ethanol per bushel of corn</t>
  </si>
  <si>
    <t>withd, gal water/gal ethanol for corn irrigation</t>
  </si>
  <si>
    <t>cons, gal water/gal ethanol for corn irrigation</t>
  </si>
  <si>
    <t>gal freshwater/gal ethanol, dry mill refining</t>
  </si>
  <si>
    <t>gal freshwater/gal ethanol, wet mill refining</t>
  </si>
  <si>
    <t>GJ/bbl biodiesel</t>
  </si>
  <si>
    <t>value fraction for corn oil per bushel of corn</t>
  </si>
  <si>
    <t>cons, gal water/gal biodiesel for soybean irrigation; assume gal corn oil ~ gal biodiesel</t>
  </si>
  <si>
    <t>withd, gal water/gal biodiesel for soybean irrigation; assume gal corn oil ~ gal biodiesel</t>
  </si>
  <si>
    <t>cons, gal water/gal biodiesel for corn irrigation; assume gal corn oil ~ gal biodiesel</t>
  </si>
  <si>
    <t>withd, gal water/gal biodiesel for corn irrigation; assume gal corn oil ~ gal biodiesel</t>
  </si>
  <si>
    <t>lb oil to gal biodiesel, average</t>
  </si>
  <si>
    <t>pounds of oil per bushel of soybeans</t>
  </si>
  <si>
    <t>value fraction for biodiesel per bushel of soy</t>
  </si>
  <si>
    <t>bushel soy/gal biodiesel</t>
  </si>
  <si>
    <t>https://www.fsa.usda.gov/Internet/FSA_File/2002factorsnformulas.pdf</t>
  </si>
  <si>
    <t>lb soybean oil/gal biodiesel</t>
  </si>
  <si>
    <t>http://www.card.iastate.edu/iowa_ag_review/winter_08/article3.aspx</t>
  </si>
  <si>
    <t>vol water/vol biodiesel for crop-oil conversions</t>
  </si>
  <si>
    <t>vol water/vol biodiesel for oil-biodiesel conversions</t>
  </si>
  <si>
    <t>est consumptive use of biorefining water</t>
  </si>
  <si>
    <t>mmbbl ethanol produced in US</t>
  </si>
  <si>
    <t>https://www.eia.gov/dnav/pet/pet_sum_snd_a_EPOORXFE_mbbl_a_cur-2.htm</t>
  </si>
  <si>
    <t>mmbbl ethanol imported (as ethanol)</t>
  </si>
  <si>
    <t>dry milled ethanol</t>
  </si>
  <si>
    <t>wet milled ethanol</t>
  </si>
  <si>
    <t>million gallons biodiesel</t>
  </si>
  <si>
    <t>pounds soybean oil, 2014</t>
  </si>
  <si>
    <t>https://www.eia.gov/biofuels/biodiesel/production/archive/2016/2016_02/table3.pdf</t>
  </si>
  <si>
    <t>pounds corn oil for biodiesel, 2014</t>
  </si>
  <si>
    <t>pounds of crop-based oil (soy, canola, corn)</t>
  </si>
  <si>
    <t>pounds of oil input to biodiesel</t>
  </si>
  <si>
    <t>SUBBITUMINOUS COAL</t>
  </si>
  <si>
    <t>Subsidence-related drainage</t>
  </si>
  <si>
    <t>Revegetation</t>
  </si>
  <si>
    <t>Power plant cooling</t>
  </si>
  <si>
    <t>Sulfur scrubbing</t>
  </si>
  <si>
    <t>Ash handling</t>
  </si>
  <si>
    <t>m^3/GJ freshwater consumption for dewatering</t>
  </si>
  <si>
    <t>mmbtu produced, northern great plains excluding lignite</t>
  </si>
  <si>
    <t>mmbtu washed, northern great plains</t>
  </si>
  <si>
    <t>BITUMINOUS COAL</t>
  </si>
  <si>
    <t>Dewatering, Appalachia</t>
  </si>
  <si>
    <t>Dewatering, Non-Gulf Interior</t>
  </si>
  <si>
    <t>Dewatering, Rocky Mountain Region</t>
  </si>
  <si>
    <t>Stream burial and aquifer removal</t>
  </si>
  <si>
    <t>Coal preparation, Appalachia</t>
  </si>
  <si>
    <t>Coal preparation, Non-Gulf Interior</t>
  </si>
  <si>
    <t>Coal preparation, Rocky Mountain Region</t>
  </si>
  <si>
    <t>Non-Gulf Interior</t>
  </si>
  <si>
    <t>LIGNITE</t>
  </si>
  <si>
    <t>Dewatering, Gulf Coast</t>
  </si>
  <si>
    <t>Northern Great Plains (ND lignite)</t>
  </si>
  <si>
    <t>Produced water total</t>
  </si>
  <si>
    <t>Tight/shale gas</t>
  </si>
  <si>
    <t>Dehydration</t>
  </si>
  <si>
    <t>Acid gas removal: H2S</t>
  </si>
  <si>
    <t>Acid gas removal: CO2</t>
  </si>
  <si>
    <t>Liquefaction for LNG</t>
  </si>
  <si>
    <t>LNG regasification</t>
  </si>
  <si>
    <t>LNG ship ballast</t>
  </si>
  <si>
    <t>In-port LNG export ship cooling</t>
  </si>
  <si>
    <t>marketed gas, 2014</t>
  </si>
  <si>
    <t>http://www.eia.gov/totalenergy/data/browser/?tbl=TA4#/?f=A&amp;start=200001)</t>
  </si>
  <si>
    <t>m^3/tonne S</t>
  </si>
  <si>
    <t>consumed, H2S removal</t>
  </si>
  <si>
    <t>consumed for cooling, H2S removal</t>
  </si>
  <si>
    <t>consumed otherwise, H2S removal</t>
  </si>
  <si>
    <t>fraction of cooling water consumed for withd calc</t>
  </si>
  <si>
    <t>derived from closed-loop power plant cooling</t>
  </si>
  <si>
    <t>gal/mmbtu storage for salt cavern excavation</t>
  </si>
  <si>
    <t>LNG exports</t>
  </si>
  <si>
    <t>https://www.eia.gov/dnav/ng/ng_move_poe2_a_EPG0_ENG_Mmcf_a.htm</t>
  </si>
  <si>
    <t>mostly Kenai, AK, with ~2/16 from freeport</t>
  </si>
  <si>
    <t>million cubic feet, Freeport</t>
  </si>
  <si>
    <t>LNG imports</t>
  </si>
  <si>
    <t>https://www.eia.gov/dnav/ng/hist/n9103us2m.htm</t>
  </si>
  <si>
    <t>salt dome storage</t>
  </si>
  <si>
    <t>pipeline transportation (dry production + imports + exports)</t>
  </si>
  <si>
    <t>https://www.eia.gov/dnav/ng/ng_prod_sum_a_EPG0_FPD_mmcf_a.htm, https://www.eia.gov/dnav/ng/ng_move_state_a_EPG0_IM0_Mmcf_a.htm, https://www.eia.gov/dnav/ng/ng_move_state_a_EPG0_EEX_Mmcf_a.htm</t>
  </si>
  <si>
    <t>mmcf excavation requirement for salt dome</t>
  </si>
  <si>
    <t>48,000 new + 440 maintenance</t>
  </si>
  <si>
    <t>gal for hydrostatic pipeline testing</t>
  </si>
  <si>
    <t>In-port LNG ship cooling</t>
  </si>
  <si>
    <t>Produced water: tight gas</t>
  </si>
  <si>
    <t>Produced water: coalbed methane</t>
  </si>
  <si>
    <t>URANIUM</t>
  </si>
  <si>
    <t>In-situ leach operations</t>
  </si>
  <si>
    <t>Underground mining and conventional milling</t>
  </si>
  <si>
    <t>UF6 conversion</t>
  </si>
  <si>
    <t>UF6 enrichment</t>
  </si>
  <si>
    <t>UO2 conversion and fuel fabrication</t>
  </si>
  <si>
    <t>DUF6 deconversion</t>
  </si>
  <si>
    <t>Nuclear ship cooling</t>
  </si>
  <si>
    <t>On-site spent fuel pool operations</t>
  </si>
  <si>
    <t>Off-site ISFSI (Morris Operation)</t>
  </si>
  <si>
    <t>Assumptions for calculating GJ at each stage</t>
  </si>
  <si>
    <t>GJ/kg U3O8</t>
  </si>
  <si>
    <t>g/mol U</t>
  </si>
  <si>
    <t>g/mol O</t>
  </si>
  <si>
    <t>g/mol UO2</t>
  </si>
  <si>
    <t>kg U/kg UO2</t>
  </si>
  <si>
    <t>g/mol U3O8</t>
  </si>
  <si>
    <t>kg U/kg U3O8</t>
  </si>
  <si>
    <t>kg U3O8 = energy in 1 kg UO2</t>
  </si>
  <si>
    <t>HYDROPOWER</t>
  </si>
  <si>
    <t>Evaporation</t>
  </si>
  <si>
    <t>Seepage</t>
  </si>
  <si>
    <t>Flow through turbines</t>
  </si>
  <si>
    <t>WIND</t>
  </si>
  <si>
    <t>Blade washing</t>
  </si>
  <si>
    <t>Solid biomass combustion</t>
  </si>
  <si>
    <t>MSW combustion</t>
  </si>
  <si>
    <t>BIOGAS</t>
  </si>
  <si>
    <t>Biogas combustion</t>
  </si>
  <si>
    <t>GEOTHERMAL</t>
  </si>
  <si>
    <t>Well drilling</t>
  </si>
  <si>
    <t>Reservoir augmentation: Geysers</t>
  </si>
  <si>
    <t>Reservoir augmentation: Coso</t>
  </si>
  <si>
    <t>Reservoir augmentation: Dixie Valley</t>
  </si>
  <si>
    <t>Water production from steam fields</t>
  </si>
  <si>
    <t>Wet-cooled steam power plant cooling</t>
  </si>
  <si>
    <t>Hybrid-cooled steam power plant cooling</t>
  </si>
  <si>
    <t>Wet-cooled binary power plant cooling</t>
  </si>
  <si>
    <t>Hybrid-cooled binary power plant cooling</t>
  </si>
  <si>
    <t>Air cooled power plant cooling</t>
  </si>
  <si>
    <t>Direct heat water loops</t>
  </si>
  <si>
    <t>SOLAR PHOTOVOLTAIC</t>
  </si>
  <si>
    <t>Panel washing, utility scale</t>
  </si>
  <si>
    <t>Panel washing, distributed</t>
  </si>
  <si>
    <t>GWh utility scale PV</t>
  </si>
  <si>
    <t>GWh distributed PV</t>
  </si>
  <si>
    <t>SOLAR THERMAL</t>
  </si>
  <si>
    <t>Mirror washing</t>
  </si>
  <si>
    <t>2014: Form 923, Page 1 Sched 2, 3, 4, 5, etc</t>
  </si>
  <si>
    <t>gal</t>
  </si>
  <si>
    <t>ac-ft</t>
  </si>
  <si>
    <t>Cooling</t>
  </si>
  <si>
    <t>Reservoir augmentation</t>
  </si>
  <si>
    <t>Production</t>
  </si>
  <si>
    <t>Plant Id</t>
  </si>
  <si>
    <t>Net Generation
(Megawatthours)</t>
  </si>
  <si>
    <t>YEAR</t>
  </si>
  <si>
    <t>Plant type</t>
  </si>
  <si>
    <t>Water quality</t>
  </si>
  <si>
    <t>Cooling type</t>
  </si>
  <si>
    <t>Est water consumption, 2014, m^3</t>
  </si>
  <si>
    <t>Est water withdrawal, 2014, m^3</t>
  </si>
  <si>
    <t>Source</t>
  </si>
  <si>
    <t>Surface water</t>
  </si>
  <si>
    <t>Ground-water</t>
  </si>
  <si>
    <t>Reclaimed water</t>
  </si>
  <si>
    <t>reclaimed water</t>
  </si>
  <si>
    <t>reclaimed</t>
  </si>
  <si>
    <t>drilling, m^3</t>
  </si>
  <si>
    <t>**major caveat: ratios are based on number of projects (Clark et al 2013)</t>
  </si>
  <si>
    <t>cooling, m^3</t>
  </si>
  <si>
    <t>production, m^3</t>
  </si>
  <si>
    <t>augmentation, m^3</t>
  </si>
  <si>
    <t>Reclaimed</t>
  </si>
  <si>
    <t>nonfresh</t>
  </si>
  <si>
    <t>withdrawal (net of production)</t>
  </si>
  <si>
    <t>production</t>
  </si>
  <si>
    <t>(All)</t>
  </si>
  <si>
    <t>Row Labels</t>
  </si>
  <si>
    <t>Sum of Est water withdrawal, 2014, m^3</t>
  </si>
  <si>
    <t>Sum of Est water consumption, 2014, m^3</t>
  </si>
  <si>
    <t>Sum of Net Generation
(Megawatthours)</t>
  </si>
  <si>
    <t>wet</t>
  </si>
  <si>
    <t>binary</t>
  </si>
  <si>
    <t>dry steam</t>
  </si>
  <si>
    <t>flash steam</t>
  </si>
  <si>
    <t>air</t>
  </si>
  <si>
    <t>hybrid</t>
  </si>
  <si>
    <t>Grand Total</t>
  </si>
  <si>
    <t>Heat</t>
  </si>
  <si>
    <t>Total geothermal direct heating capacity</t>
  </si>
  <si>
    <t>MW_th</t>
  </si>
  <si>
    <t>Boyd et al 2015</t>
  </si>
  <si>
    <t>capacity factor</t>
  </si>
  <si>
    <t>**overall** might be different for open and closed loop</t>
  </si>
  <si>
    <t>% of standardized systems that are open loop</t>
  </si>
  <si>
    <t>they give in terms of installations percentage, but they seem to normalize an installation to 12 kW equiv</t>
  </si>
  <si>
    <t>hours/year</t>
  </si>
  <si>
    <t>mmbtu/MWh_th</t>
  </si>
  <si>
    <t>Total open loop GJ</t>
  </si>
  <si>
    <t>Total all systems GJ</t>
  </si>
  <si>
    <t>Water</t>
  </si>
  <si>
    <t>Flow rate</t>
  </si>
  <si>
    <t>gal/min per ton</t>
  </si>
  <si>
    <t>Geojerry (geothermal install help site), waterfurnace (company)</t>
  </si>
  <si>
    <t>btu per ton of cooling (over 24 hours)</t>
  </si>
  <si>
    <t>min/hour</t>
  </si>
  <si>
    <t>hour/ton</t>
  </si>
  <si>
    <t>Water rate</t>
  </si>
  <si>
    <t>gal/mmbtu</t>
  </si>
  <si>
    <t>withdrawn (open loop systems)</t>
  </si>
  <si>
    <t>consumed (pump and dump systems)</t>
  </si>
  <si>
    <t>Total water for direct heating</t>
  </si>
  <si>
    <t>groundwater*</t>
  </si>
  <si>
    <t>*assume most is gwater, Section III EPA 1997, Manual on Environmental Issues Related to Geothermal Heat Pump Systems</t>
  </si>
  <si>
    <t>withdrawn (average, all systems)</t>
  </si>
  <si>
    <t>brackish</t>
  </si>
  <si>
    <t>none</t>
  </si>
  <si>
    <t>assume recycled water is saline or lower</t>
  </si>
  <si>
    <t>BIODIESEL</t>
  </si>
  <si>
    <t>Fuel codes from EIA form 923</t>
  </si>
  <si>
    <t>AB</t>
  </si>
  <si>
    <t>Agricultural By-Products</t>
  </si>
  <si>
    <t>ANT</t>
  </si>
  <si>
    <t>n/a</t>
  </si>
  <si>
    <t>Anthracite Coal</t>
  </si>
  <si>
    <t>BFG</t>
  </si>
  <si>
    <t>Blast Furnace Gas</t>
  </si>
  <si>
    <t>BIT</t>
  </si>
  <si>
    <t>BLQ</t>
  </si>
  <si>
    <t>Black Liquor</t>
  </si>
  <si>
    <t>Distillate Fuel Oil. Including diesel, No. 1, No. 2, and No. 4 fuel oils.</t>
  </si>
  <si>
    <t>GEO</t>
  </si>
  <si>
    <t>JF</t>
  </si>
  <si>
    <t>Jet Fuel</t>
  </si>
  <si>
    <t>KER</t>
  </si>
  <si>
    <t>Kerosene</t>
  </si>
  <si>
    <t>LFG</t>
  </si>
  <si>
    <t>Landfill Gas</t>
  </si>
  <si>
    <t>LIG</t>
  </si>
  <si>
    <t>MSB</t>
  </si>
  <si>
    <t>Biogenic Municipal Solid Waste</t>
  </si>
  <si>
    <t>MSN</t>
  </si>
  <si>
    <t>Non-biogenic Municipal Solid Waste</t>
  </si>
  <si>
    <t>MWH</t>
  </si>
  <si>
    <t>Electricity used for energy storage</t>
  </si>
  <si>
    <t>NG</t>
  </si>
  <si>
    <t>NUC</t>
  </si>
  <si>
    <t>Nuclear. Including Uranium, Plutonium, and Thorium.</t>
  </si>
  <si>
    <t>OBG</t>
  </si>
  <si>
    <t>Other Biomass Gas. Including digester gas, methane, and other biomass gases.</t>
  </si>
  <si>
    <t>OBL</t>
  </si>
  <si>
    <t>Other Biomass Liquids</t>
  </si>
  <si>
    <t>OBS</t>
  </si>
  <si>
    <t>Other Biomass Solids</t>
  </si>
  <si>
    <t>OG</t>
  </si>
  <si>
    <t>Other Gas</t>
  </si>
  <si>
    <t>OTH</t>
  </si>
  <si>
    <t>Other Fuel</t>
  </si>
  <si>
    <t>PC</t>
  </si>
  <si>
    <t>Petroleum Coke</t>
  </si>
  <si>
    <t>PG</t>
  </si>
  <si>
    <t>Gaseous Propane</t>
  </si>
  <si>
    <t>PUR</t>
  </si>
  <si>
    <t>Purchased Steam</t>
  </si>
  <si>
    <t>RC</t>
  </si>
  <si>
    <t>Refined Coal</t>
  </si>
  <si>
    <t>Residual Fuel Oil. Including No. 5 &amp; 6 fuel oils and bunker C fuel oil.</t>
  </si>
  <si>
    <t>SC</t>
  </si>
  <si>
    <t>Coal-based Synfuel. Including briquettes, pellets, or extrusions, which are formed by binding materials or processes that recycle materials.</t>
  </si>
  <si>
    <t>SGC</t>
  </si>
  <si>
    <t>Coal-Derived Synthesis Gas</t>
  </si>
  <si>
    <t>SGP</t>
  </si>
  <si>
    <t>Synthesis Gas from Petroleum Coke</t>
  </si>
  <si>
    <t>SLW</t>
  </si>
  <si>
    <t>Sludge Waste</t>
  </si>
  <si>
    <t>SUB</t>
  </si>
  <si>
    <t>SUN</t>
  </si>
  <si>
    <t>TDF</t>
  </si>
  <si>
    <t>Tire-derived Fuels</t>
  </si>
  <si>
    <t>WAT</t>
  </si>
  <si>
    <t>Water at a Conventional Hydroelectric Turbine and water used in Wave Buoy Hydrokinetic Technology, current Hydrokinetic Technology, Tidal Hydrokinetic Technology, and Pumping Energy for Reversible (Pumped Storage) Hydroelectric Turbines.</t>
  </si>
  <si>
    <t>WC</t>
  </si>
  <si>
    <t>Waste/Other Coal. Including anthracite culm, bituminous gob, fine coal, lignite waste, waste coal.</t>
  </si>
  <si>
    <t>WDL</t>
  </si>
  <si>
    <t>Wood Waste Liquids, excluding Black Liquor. Including red liquor, sludge wood, spent sulfite liquor, and other wood-based liquids.</t>
  </si>
  <si>
    <t>WDS</t>
  </si>
  <si>
    <t>Wood/Wood Waste Solids. Including paper pellets, railroad ties, utility polies, wood chips, bark, and other wood waste solids.</t>
  </si>
  <si>
    <t>WH</t>
  </si>
  <si>
    <t>Waste Heat not directly attributed to a fuel source</t>
  </si>
  <si>
    <t>WND</t>
  </si>
  <si>
    <t>WO</t>
  </si>
  <si>
    <t>Waste/Other Oil. Including crude oil, liquid butane, liquid propane, naphtha, oil waste, re-refined moto oil, sludge oil, tar oil, or other petroleum-based liquid wastes.</t>
  </si>
  <si>
    <t xml:space="preserve"> Cooling water source code definitions from EIA form 860</t>
  </si>
  <si>
    <t>SW</t>
  </si>
  <si>
    <t xml:space="preserve">Surface water </t>
  </si>
  <si>
    <t>GW</t>
  </si>
  <si>
    <t>Ground water</t>
  </si>
  <si>
    <t>PD</t>
  </si>
  <si>
    <t>Plant discharge</t>
  </si>
  <si>
    <t>OT</t>
  </si>
  <si>
    <t xml:space="preserve">Other </t>
  </si>
  <si>
    <t xml:space="preserve">Cooling water type code definitions from EIA form 860 </t>
  </si>
  <si>
    <t>BR</t>
  </si>
  <si>
    <t>Brackish water</t>
  </si>
  <si>
    <t>FR</t>
  </si>
  <si>
    <t>Fresh water</t>
  </si>
  <si>
    <t>BE</t>
  </si>
  <si>
    <t>SA</t>
  </si>
  <si>
    <t>Saline water</t>
  </si>
  <si>
    <t>COAL</t>
  </si>
  <si>
    <t>Dewatering</t>
  </si>
  <si>
    <t>ETHANOL</t>
  </si>
  <si>
    <t>Oil well drilling + cementing (not HF)</t>
  </si>
  <si>
    <t>conventional</t>
  </si>
  <si>
    <t>vol/vol</t>
  </si>
  <si>
    <t>unconventional</t>
  </si>
  <si>
    <t>Scanlon et al 2014 based on bore volume, cement; EIA for oil production in 2014</t>
  </si>
  <si>
    <t>assume 10% of wells use produced water for drilling (see chen and carter 2016 on HF well %)--this is purely an assumption. Upper bound: 0.6% of pw volume (veil 2015)</t>
  </si>
  <si>
    <t>assume comes from same field at highest available PW quality: HF uses first</t>
  </si>
  <si>
    <t>UNCONVENTIONAL</t>
  </si>
  <si>
    <t>CONVENTIONAL</t>
  </si>
  <si>
    <t>Conventional Oil (includes refining of imports)</t>
  </si>
  <si>
    <t>Water Source</t>
  </si>
  <si>
    <t>Water Quality</t>
  </si>
  <si>
    <t>Resource</t>
  </si>
  <si>
    <t xml:space="preserve">Production </t>
  </si>
  <si>
    <t xml:space="preserve">Processing </t>
  </si>
  <si>
    <t xml:space="preserve">Transport </t>
  </si>
  <si>
    <t>Power Gen, Once Through Cooling</t>
  </si>
  <si>
    <t>Power Gen, Recirculating Cooling Ponds</t>
  </si>
  <si>
    <t>Power Gen, Recirculating Cooling Towers</t>
  </si>
  <si>
    <t xml:space="preserve">Post-conversion </t>
  </si>
  <si>
    <t>Life Cycle Stage</t>
  </si>
  <si>
    <t>Fuel Cycle</t>
  </si>
  <si>
    <t>-</t>
  </si>
  <si>
    <t>Withdrawn,
cubic meters (2014)</t>
  </si>
  <si>
    <t>Returned to source,
cubic meters (2014)</t>
  </si>
  <si>
    <t>Consumed,
cubic meters (2014)</t>
  </si>
  <si>
    <t>None</t>
  </si>
  <si>
    <t>U.S. Department of Energy, The Energy Information Administration (EIA)</t>
  </si>
  <si>
    <t>EIA-923 Monthly Generation and Fuel Consumption Time Series File, 2014 Final Release</t>
  </si>
  <si>
    <t>Sources: EIA-923 and EIA-860 Reports</t>
  </si>
  <si>
    <t>Reported Fuel Type Code</t>
  </si>
  <si>
    <t>Grubert fuel classification based on web searches for the plant name</t>
  </si>
  <si>
    <t>2014 MWh net generation</t>
  </si>
  <si>
    <t>Sanders water source classification</t>
  </si>
  <si>
    <t>Sanders water quality classification</t>
  </si>
  <si>
    <t>Solid Biomass</t>
  </si>
  <si>
    <t>Trenton Channel</t>
  </si>
  <si>
    <t>Tennessee Eastman Operations</t>
  </si>
  <si>
    <t>Wabash Valley Power IGCC</t>
  </si>
  <si>
    <t>Escanaba Mill</t>
  </si>
  <si>
    <t>Plaquemine Cogeneration Plant</t>
  </si>
  <si>
    <t>Shell Deer Park</t>
  </si>
  <si>
    <t>Kennecott Power Plant</t>
  </si>
  <si>
    <t>Dominguez Plant</t>
  </si>
  <si>
    <t>LaO Energy Systems</t>
  </si>
  <si>
    <t>Phillips 66 Carbon Plant</t>
  </si>
  <si>
    <t>Poet Biorefining Lake Crystal</t>
  </si>
  <si>
    <t>Simplot Leasing Don Plant</t>
  </si>
  <si>
    <t>J.R. Simplot Company</t>
  </si>
  <si>
    <t>PPG Powerhouse A</t>
  </si>
  <si>
    <t>Port Arthur Steam Energy</t>
  </si>
  <si>
    <t>C&amp;H Sugar Plant</t>
  </si>
  <si>
    <t>Wilmington Hydrogen Plant</t>
  </si>
  <si>
    <t>BP Chemicals Green Lake Plant</t>
  </si>
  <si>
    <t>PPG Riverside</t>
  </si>
  <si>
    <t>Mosaic South Pierce Operations</t>
  </si>
  <si>
    <t>Mosaic New Wales Operations</t>
  </si>
  <si>
    <t>Tesoro Wilmington Calciner</t>
  </si>
  <si>
    <t>The Mosaic Company, Plant City Facility</t>
  </si>
  <si>
    <t>Martinez Sulfuric Acid Regeneration Plt</t>
  </si>
  <si>
    <t>Goodsprings Waste Heat Recovery</t>
  </si>
  <si>
    <t>Swift Creek Chemical Complex</t>
  </si>
  <si>
    <t>Williams Ignacio Natural Gas Plant</t>
  </si>
  <si>
    <t>Heat Recovery Coke Facility</t>
  </si>
  <si>
    <t>East Kansas Agri-Energy, LLC</t>
  </si>
  <si>
    <t>Consumer Products (Camas) LLC</t>
  </si>
  <si>
    <t>Simplot Phosphates</t>
  </si>
  <si>
    <t>Texas City Plant Union Carbide</t>
  </si>
  <si>
    <t>Mosaic Co Bartow Facility</t>
  </si>
  <si>
    <t>Houston Chemical Complex Battleground</t>
  </si>
  <si>
    <t>Granite City Works</t>
  </si>
  <si>
    <t>Suwannee River Chemical Complex</t>
  </si>
  <si>
    <t>Duluth Paper Mill</t>
  </si>
  <si>
    <t>Mosaic Phosphates Uncle Sam</t>
  </si>
  <si>
    <t>Wisconsin Rapids Paper Mill</t>
  </si>
  <si>
    <t>Mosaic Co Tampa Facility</t>
  </si>
  <si>
    <t>Inland Paperboard Packaging Rome</t>
  </si>
  <si>
    <t>LaFarge Alpena</t>
  </si>
  <si>
    <t>Franklin Heating Station</t>
  </si>
  <si>
    <t>Sherwin Alumina</t>
  </si>
  <si>
    <t>Twin Rivers Paper Co LLC</t>
  </si>
  <si>
    <t>Glen Ullin Station 6</t>
  </si>
  <si>
    <t>ExxonMobil Oil Torrance Refinery</t>
  </si>
  <si>
    <t>ADA Carbon Solutions Red River</t>
  </si>
  <si>
    <t>PCS Phosphate</t>
  </si>
  <si>
    <t>PPG Powerhouse C</t>
  </si>
  <si>
    <t>Houston Plant</t>
  </si>
  <si>
    <t>Plant ID</t>
  </si>
  <si>
    <t>Plant Name</t>
  </si>
  <si>
    <t xml:space="preserve">Notes: </t>
  </si>
  <si>
    <t>Column Labels</t>
  </si>
  <si>
    <t>Sum of 2014 MWh net generation</t>
  </si>
  <si>
    <t>Total water to be allocated:</t>
  </si>
  <si>
    <t>Allocate based on portion of wet-cooled MWh represented by category</t>
  </si>
  <si>
    <t>EIA 923/860 reports fuel types as "OTH" (other) or "WH" (waste heat) in some cases, accounting for an estimated 0.2% of power plant withdrawals. This worksheet allocates those withdrawals to fuels. "PUR" (purchased) fuels have the highest uncertainty given the lack of obvious link between consumer and source.</t>
  </si>
  <si>
    <t>withd m^3</t>
  </si>
  <si>
    <t>cons m^3</t>
  </si>
  <si>
    <t>Note that only one plant reporting purchased fuel is assigned to natural gas: the others are allocated to solid biomass, oil, and bituminous coal based on subjective evaluation of likely available fuels from neighboring facilities. The reason only one plant is assigned to natural gas is because that plant reports a combined cycle</t>
  </si>
  <si>
    <t>prime mover, indicating gas. Steam cycles are assumed to be not gas for the purposes of the "PUR" code.</t>
  </si>
  <si>
    <t>Note also that since water allocation is done very approximately, no effort to account for, e.g., differential plant efficiency is made. The allocation is made purely on MWh proportional bases.</t>
  </si>
  <si>
    <t>Allocated from "WH," "OTH," "PUR"</t>
  </si>
  <si>
    <t>Power plant</t>
  </si>
  <si>
    <t>Direct Use</t>
  </si>
  <si>
    <t>All values refer to the Conversion life cycle stage</t>
  </si>
  <si>
    <r>
      <rPr>
        <b/>
        <sz val="10"/>
        <color theme="1"/>
        <rFont val="Arial"/>
        <family val="2"/>
      </rPr>
      <t xml:space="preserve">Note: </t>
    </r>
    <r>
      <rPr>
        <sz val="10"/>
        <color theme="1"/>
        <rFont val="Arial"/>
        <family val="2"/>
      </rPr>
      <t>this sheet interacts with the allocation sheet to break down data at the fuel level into subcategory level estimates for unconventional resources.</t>
    </r>
  </si>
  <si>
    <t>Associated water intensity
(m^3/GJ delivered energy)</t>
  </si>
  <si>
    <t>All units in m^3/GJ delivered energy</t>
  </si>
  <si>
    <t>United States Overall Intensity (2014)</t>
  </si>
  <si>
    <t>This section contains fuel cycle-specific data for 17 fuel cycles. Specifically, individual processes within each life cycle stage are summarized relative to water use.</t>
  </si>
  <si>
    <t xml:space="preserve">Also included are full-resource summaries for oil (conventional and unconventional), natural gas (conventional and unconventional), and coal (subbituminous, </t>
  </si>
  <si>
    <t>Liquid fuels</t>
  </si>
  <si>
    <t>Non-liquid fuels</t>
  </si>
  <si>
    <t>Brackish Water %</t>
  </si>
  <si>
    <t>Surface
water %</t>
  </si>
  <si>
    <t>Groundwater
%</t>
  </si>
  <si>
    <t>Intensity, m^3/GJ at stage</t>
  </si>
  <si>
    <t>Intensity, m^3/GJ delivered</t>
  </si>
  <si>
    <t>Energy Summary</t>
  </si>
  <si>
    <t>GJ delivered</t>
  </si>
  <si>
    <t>Total, Excluding Combustion</t>
  </si>
  <si>
    <t xml:space="preserve">bituminous, and lignite). Absolute volumes, intensity per GJ of energy to which the process applies (e.g., mining water intensity per GJ-mined coal), and intensity </t>
  </si>
  <si>
    <t>per GJ of delivered energy are provided.</t>
  </si>
  <si>
    <t>Hydrostatic pipeline tests</t>
  </si>
  <si>
    <t>NATURAL GAS</t>
  </si>
  <si>
    <t>OIL</t>
  </si>
  <si>
    <t xml:space="preserve">OIL </t>
  </si>
  <si>
    <t>Dewatering, North Dakota</t>
  </si>
  <si>
    <t>NATURAL</t>
  </si>
  <si>
    <t>GAS</t>
  </si>
  <si>
    <t>SOLID BIOMASS</t>
  </si>
  <si>
    <t>AND RDF</t>
  </si>
  <si>
    <t>Irrigation, bagasse</t>
  </si>
  <si>
    <t>Irrigation, rice</t>
  </si>
  <si>
    <t>Irrigation, corn</t>
  </si>
  <si>
    <t>Irrigation, sunflowers</t>
  </si>
  <si>
    <t>Irrigation, cotton</t>
  </si>
  <si>
    <t>ground</t>
  </si>
  <si>
    <t>reuse</t>
  </si>
  <si>
    <t>saline</t>
  </si>
  <si>
    <t>not RO</t>
  </si>
  <si>
    <t>transport</t>
  </si>
  <si>
    <t>conversion</t>
  </si>
  <si>
    <t>post-conversion</t>
  </si>
  <si>
    <t>insufficient data to estimate</t>
  </si>
  <si>
    <t>air Total</t>
  </si>
  <si>
    <t>hybrid Total</t>
  </si>
  <si>
    <t>wet Total</t>
  </si>
  <si>
    <t>Note that the charts showing total volume by process are plotted on the same scale for liquid fuels and for non-liquid fuels, but the liquid and non-liquid fuel</t>
  </si>
  <si>
    <t>scales are not the same. Note also that hydropower withdrawals are plotted with a different axis due to their extreme large value.</t>
  </si>
  <si>
    <t>Resource sheets</t>
  </si>
  <si>
    <t>Main table</t>
  </si>
  <si>
    <t>Summary</t>
  </si>
  <si>
    <t>Actual Sum</t>
  </si>
  <si>
    <t>CONSUMPTION</t>
  </si>
  <si>
    <t>WITHDRAWAL</t>
  </si>
  <si>
    <t>Discrepancy</t>
  </si>
  <si>
    <t>Average error</t>
  </si>
  <si>
    <t>The following sheets contain calculations and assumptions that support the previous data pages.</t>
  </si>
  <si>
    <t>Contents are summarized and linked here.</t>
  </si>
  <si>
    <t>Internal consistency check</t>
  </si>
  <si>
    <t>Internal consistency check comparing data from "Summary," "Absolute Volume," and individual Resource tabs</t>
  </si>
  <si>
    <t>Summary of global constants</t>
  </si>
  <si>
    <t>Constants</t>
  </si>
  <si>
    <t>*includes imports; conversion includes processing gain</t>
  </si>
  <si>
    <t>--&gt;since none of these have water impacts, neglect them</t>
  </si>
  <si>
    <t>Energy data by fuel cycle</t>
  </si>
  <si>
    <t>Summary of GJ involved in each process by energy resource</t>
  </si>
  <si>
    <t>Sankey conversion input</t>
  </si>
  <si>
    <t>Summary of conversion-stage water consumption and withdrawal by fuel</t>
  </si>
  <si>
    <t>Allocation of "other" fuels</t>
  </si>
  <si>
    <t>Worksheet showing assumptions behind allocation of Waste Heat (WH), Purchased Fuel (PUR), and Other (OTH)</t>
  </si>
  <si>
    <t>Intermediate o&amp;g entries</t>
  </si>
  <si>
    <t>Calculations associated with oil and natural gas</t>
  </si>
  <si>
    <t>Calculations associated with coal</t>
  </si>
  <si>
    <t>Calculations associated with geothermal</t>
  </si>
  <si>
    <t>Intermediate coal entries</t>
  </si>
  <si>
    <t>Intermediate geothermal</t>
  </si>
  <si>
    <t>Cooling (includes FGD and post-combustion ash handling)</t>
  </si>
  <si>
    <t>EIA Code</t>
  </si>
  <si>
    <t>EIA Definition</t>
  </si>
  <si>
    <t>This Work Classifies</t>
  </si>
  <si>
    <t>Varies by case</t>
  </si>
  <si>
    <r>
      <rPr>
        <sz val="10"/>
        <color theme="1"/>
        <rFont val="Arial"/>
        <family val="2"/>
      </rPr>
      <t xml:space="preserve">See </t>
    </r>
    <r>
      <rPr>
        <u/>
        <sz val="10"/>
        <color theme="10"/>
        <rFont val="Arial"/>
        <family val="2"/>
      </rPr>
      <t>Allocation of "other" fuels</t>
    </r>
  </si>
  <si>
    <t>EIA definitions</t>
  </si>
  <si>
    <t>Dictionary linking EIA fuel, water source, and water quality definitions to those used in this work</t>
  </si>
  <si>
    <t>Varies by case; usually fresh</t>
  </si>
  <si>
    <t xml:space="preserve">Note: </t>
  </si>
  <si>
    <t>Absolute Volume</t>
  </si>
  <si>
    <r>
      <rPr>
        <sz val="10"/>
        <color theme="1"/>
        <rFont val="Arial"/>
        <family val="2"/>
      </rPr>
      <t xml:space="preserve">See sheet </t>
    </r>
    <r>
      <rPr>
        <u/>
        <sz val="10"/>
        <color theme="10"/>
        <rFont val="Arial"/>
        <family val="2"/>
      </rPr>
      <t>Internal consistency check</t>
    </r>
    <r>
      <rPr>
        <sz val="10"/>
        <color theme="1"/>
        <rFont val="Arial"/>
        <family val="2"/>
      </rPr>
      <t xml:space="preserve"> to view a summary of the current values in the below pages if you wish to view the effects of any changes made.</t>
    </r>
  </si>
  <si>
    <t>Calculations by</t>
  </si>
  <si>
    <t>E. A. Grubert, Emmett Interdisciplinary Program in Environment and Resources, Stanford University</t>
  </si>
  <si>
    <t>K. T. Sanders, Sonny D. Astani Department of Civil and Environmental Engineering, University of Southern California</t>
  </si>
  <si>
    <t>Workbook date</t>
  </si>
  <si>
    <t>Contents</t>
  </si>
  <si>
    <t>Intensity</t>
  </si>
  <si>
    <t>Calculations and assumptions</t>
  </si>
  <si>
    <t>Overview of total water consumed and withdrawn by source, quality, life cycle stage, and fuel cycle</t>
  </si>
  <si>
    <t>Total water consumed and withdrawn by source, quality, and life cycle stage for each of 17 fuel cycles</t>
  </si>
  <si>
    <t>Consumption and withdrawal water intensity per unit of delivered energy by source, quality, and life cycle stage for each of 17 fuel cycles</t>
  </si>
  <si>
    <t>Process-specific consumption and withdrawal water volumes, intensity per unit energy involved, and intensity per unit of delivered energy by source and quality for each of 17 fuel cycles</t>
  </si>
  <si>
    <t>Underlying calculations and assumptions associated with data in this workbook</t>
  </si>
  <si>
    <t>subbituminous coal</t>
  </si>
  <si>
    <t>bituminous coal</t>
  </si>
  <si>
    <t>lignite coal</t>
  </si>
  <si>
    <t>*all water for ash handling is fresh</t>
  </si>
  <si>
    <t>Sheets in this workbook are protected, but no password is required to unprotect sheets. Protection is intended to prevent inadvertent overwriting of formulas.</t>
  </si>
  <si>
    <r>
      <t>Consumed,
m</t>
    </r>
    <r>
      <rPr>
        <b/>
        <vertAlign val="superscript"/>
        <sz val="12"/>
        <color theme="1"/>
        <rFont val="Arial"/>
        <family val="2"/>
      </rPr>
      <t>3</t>
    </r>
    <r>
      <rPr>
        <b/>
        <sz val="12"/>
        <color theme="1"/>
        <rFont val="Arial"/>
        <family val="2"/>
      </rPr>
      <t>/GJ delivered (2014)</t>
    </r>
  </si>
  <si>
    <r>
      <t>Withdrawn,
m</t>
    </r>
    <r>
      <rPr>
        <b/>
        <vertAlign val="superscript"/>
        <sz val="12"/>
        <color theme="1"/>
        <rFont val="Arial"/>
        <family val="2"/>
      </rPr>
      <t>3</t>
    </r>
    <r>
      <rPr>
        <b/>
        <sz val="12"/>
        <color theme="1"/>
        <rFont val="Arial"/>
        <family val="2"/>
      </rPr>
      <t>/GJ delivered (2014)</t>
    </r>
  </si>
  <si>
    <r>
      <t>Returned to source,
m</t>
    </r>
    <r>
      <rPr>
        <b/>
        <vertAlign val="superscript"/>
        <sz val="12"/>
        <color theme="1"/>
        <rFont val="Arial"/>
        <family val="2"/>
      </rPr>
      <t>3</t>
    </r>
    <r>
      <rPr>
        <b/>
        <sz val="12"/>
        <color theme="1"/>
        <rFont val="Arial"/>
        <family val="2"/>
      </rPr>
      <t>/GJ delivered (2014)</t>
    </r>
  </si>
  <si>
    <t>Intensity Summary</t>
  </si>
  <si>
    <t>Volume Summary</t>
  </si>
  <si>
    <t>Overview of water consumed and withdrawn per unit of delivered energy by source, quality, life cycle stage, and fuel cycle</t>
  </si>
  <si>
    <t>This workbook contains supporting data and calculations for the paper "Water use in the US energy system: A national assessment and unit process inventory of water consumption and withdrawals" by E. A. Grubert and K. T. Sanders.</t>
  </si>
  <si>
    <t>Supplementary Data File S1: Grubert and Sanders (2018) - Water use in the US energy system</t>
  </si>
  <si>
    <t>Additional detail can be found in the main manuscript and supporting text, at http://dx.doi.org/10.1021/acs.est.8b00139.</t>
  </si>
  <si>
    <t>14 May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</si>
</sst>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0.0"/>
    <numFmt numFmtId="165" formatCode="0.0%"/>
    <numFmt numFmtId="166" formatCode="0.000"/>
    <numFmt numFmtId="167" formatCode="0.000%"/>
    <numFmt numFmtId="168" formatCode="0.0E+00;\_x0000_"/>
    <numFmt numFmtId="169" formatCode="0.0E+00"/>
    <numFmt numFmtId="170" formatCode="0.00E+00;\-0.00E+00;\-;@"/>
    <numFmt numFmtId="171" formatCode="0.0000000E+00"/>
    <numFmt numFmtId="172" formatCode="0.000E+00"/>
    <numFmt numFmtId="173" formatCode="0.0000E+00"/>
    <numFmt numFmtId="174" formatCode="0.00000E+00"/>
    <numFmt numFmtId="175" formatCode="0.0000%"/>
    <numFmt numFmtId="176" formatCode="0.000000%"/>
    <numFmt numFmtId="177" formatCode="0.00000000000000000000000000000000"/>
    <numFmt numFmtId="178" formatCode="0.0E+00;\-0.0E+00;\-;@"/>
    <numFmt numFmtId="179" formatCode="0.0000000"/>
    <numFmt numFmtId="180" formatCode="0.000000"/>
    <numFmt numFmtId="181" formatCode="0.00000%"/>
    <numFmt numFmtId="182" formatCode="0.0000000%"/>
  </numFmts>
  <fonts count="69">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sz val="11"/>
      <color theme="1"/>
      <name val="Calibri"/>
      <family val="2"/>
      <scheme val="minor"/>
    </font>
    <font>
      <sz val="12"/>
      <color rgb="FF3F3F76"/>
      <name val="Calibri"/>
      <family val="2"/>
      <scheme val="minor"/>
    </font>
    <font>
      <b/>
      <sz val="12"/>
      <color rgb="FFFA7D00"/>
      <name val="Calibri"/>
      <family val="2"/>
      <scheme val="minor"/>
    </font>
    <font>
      <u/>
      <sz val="11"/>
      <color theme="10"/>
      <name val="Calibri"/>
      <family val="2"/>
      <scheme val="minor"/>
    </font>
    <font>
      <u/>
      <sz val="11"/>
      <color theme="11"/>
      <name val="Calibri"/>
      <family val="2"/>
      <scheme val="minor"/>
    </font>
    <font>
      <sz val="9"/>
      <color indexed="81"/>
      <name val="Calibri"/>
      <family val="2"/>
    </font>
    <font>
      <b/>
      <sz val="9"/>
      <color indexed="81"/>
      <name val="Calibri"/>
      <family val="2"/>
    </font>
    <font>
      <b/>
      <sz val="12"/>
      <color rgb="FF3F3F3F"/>
      <name val="Calibri"/>
      <family val="2"/>
      <scheme val="minor"/>
    </font>
    <font>
      <sz val="12"/>
      <color rgb="FFFA7D00"/>
      <name val="Calibri"/>
      <family val="2"/>
      <scheme val="minor"/>
    </font>
    <font>
      <b/>
      <sz val="12"/>
      <color theme="0"/>
      <name val="Calibri"/>
      <family val="2"/>
      <scheme val="minor"/>
    </font>
    <font>
      <sz val="12"/>
      <color indexed="8"/>
      <name val="Calibri"/>
      <family val="2"/>
    </font>
    <font>
      <sz val="10"/>
      <color indexed="81"/>
      <name val="Calibri"/>
      <family val="2"/>
    </font>
    <font>
      <b/>
      <sz val="10"/>
      <color indexed="81"/>
      <name val="Calibri"/>
      <family val="2"/>
    </font>
    <font>
      <sz val="12"/>
      <color rgb="FF9C0006"/>
      <name val="Calibri"/>
      <family val="2"/>
      <scheme val="minor"/>
    </font>
    <font>
      <b/>
      <sz val="18"/>
      <color theme="3"/>
      <name val="Calibri Light"/>
      <family val="2"/>
      <scheme val="major"/>
    </font>
    <font>
      <u/>
      <sz val="12"/>
      <color theme="10"/>
      <name val="Calibri"/>
      <family val="2"/>
      <scheme val="minor"/>
    </font>
    <font>
      <b/>
      <sz val="10"/>
      <color indexed="8"/>
      <name val="Arial"/>
      <family val="2"/>
    </font>
    <font>
      <sz val="10"/>
      <color indexed="8"/>
      <name val="Arial"/>
      <family val="2"/>
    </font>
    <font>
      <sz val="10"/>
      <name val="Arial"/>
      <family val="2"/>
    </font>
    <font>
      <b/>
      <sz val="18"/>
      <color theme="1"/>
      <name val="Arial"/>
      <family val="2"/>
    </font>
    <font>
      <b/>
      <sz val="16"/>
      <color theme="1"/>
      <name val="Arial"/>
      <family val="2"/>
    </font>
    <font>
      <b/>
      <sz val="14"/>
      <color theme="1"/>
      <name val="Arial"/>
      <family val="2"/>
    </font>
    <font>
      <b/>
      <sz val="10"/>
      <color theme="1"/>
      <name val="Arial"/>
      <family val="2"/>
    </font>
    <font>
      <b/>
      <u/>
      <sz val="10"/>
      <color theme="1"/>
      <name val="Arial"/>
      <family val="2"/>
    </font>
    <font>
      <b/>
      <sz val="12"/>
      <color theme="0"/>
      <name val="Arial"/>
      <family val="2"/>
    </font>
    <font>
      <sz val="12"/>
      <color rgb="FF000000"/>
      <name val="Arial"/>
      <family val="2"/>
    </font>
    <font>
      <b/>
      <sz val="12"/>
      <color rgb="FF000000"/>
      <name val="Arial"/>
      <family val="2"/>
    </font>
    <font>
      <b/>
      <sz val="12"/>
      <color theme="1"/>
      <name val="Arial"/>
      <family val="2"/>
    </font>
    <font>
      <sz val="12"/>
      <color theme="1"/>
      <name val="Arial"/>
      <family val="2"/>
    </font>
    <font>
      <i/>
      <sz val="12"/>
      <color theme="1"/>
      <name val="Arial"/>
      <family val="2"/>
    </font>
    <font>
      <sz val="10"/>
      <color theme="1"/>
      <name val="Arial"/>
      <family val="2"/>
    </font>
    <font>
      <b/>
      <sz val="10"/>
      <color rgb="FFFA7D00"/>
      <name val="Arial"/>
      <family val="2"/>
    </font>
    <font>
      <sz val="10"/>
      <color rgb="FF3F3F3F"/>
      <name val="Arial"/>
      <family val="2"/>
    </font>
    <font>
      <sz val="10"/>
      <color rgb="FF000000"/>
      <name val="Arial"/>
      <family val="2"/>
    </font>
    <font>
      <b/>
      <sz val="10"/>
      <color rgb="FF000000"/>
      <name val="Arial"/>
      <family val="2"/>
    </font>
    <font>
      <u/>
      <sz val="10"/>
      <color theme="1"/>
      <name val="Arial"/>
      <family val="2"/>
    </font>
    <font>
      <sz val="10"/>
      <color rgb="FFFA7D00"/>
      <name val="Arial"/>
      <family val="2"/>
    </font>
    <font>
      <sz val="10"/>
      <color rgb="FFFF0000"/>
      <name val="Arial"/>
      <family val="2"/>
    </font>
    <font>
      <i/>
      <sz val="10"/>
      <color theme="1"/>
      <name val="Arial"/>
      <family val="2"/>
    </font>
    <font>
      <i/>
      <sz val="10"/>
      <color indexed="8"/>
      <name val="Arial"/>
      <family val="2"/>
    </font>
    <font>
      <b/>
      <sz val="10"/>
      <color rgb="FF3F3F3F"/>
      <name val="Arial"/>
      <family val="2"/>
    </font>
    <font>
      <b/>
      <sz val="10"/>
      <color theme="0"/>
      <name val="Arial"/>
      <family val="2"/>
    </font>
    <font>
      <b/>
      <i/>
      <sz val="10"/>
      <color rgb="FF3F3F3F"/>
      <name val="Arial"/>
      <family val="2"/>
    </font>
    <font>
      <u/>
      <sz val="10"/>
      <color theme="10"/>
      <name val="Arial"/>
      <family val="2"/>
    </font>
    <font>
      <sz val="10"/>
      <color rgb="FF3F3F76"/>
      <name val="Arial"/>
      <family val="2"/>
    </font>
    <font>
      <sz val="10"/>
      <color rgb="FF9C0006"/>
      <name val="Arial"/>
      <family val="2"/>
    </font>
    <font>
      <b/>
      <i/>
      <sz val="10"/>
      <color rgb="FFFA7D00"/>
      <name val="Arial"/>
      <family val="2"/>
    </font>
    <font>
      <b/>
      <sz val="16"/>
      <color theme="0"/>
      <name val="Arial"/>
      <family val="2"/>
    </font>
    <font>
      <sz val="10"/>
      <color theme="0"/>
      <name val="Arial"/>
      <family val="2"/>
    </font>
    <font>
      <b/>
      <sz val="10"/>
      <name val="Arial"/>
      <family val="2"/>
    </font>
    <font>
      <i/>
      <sz val="12"/>
      <color rgb="FF000000"/>
      <name val="Arial"/>
      <family val="2"/>
    </font>
    <font>
      <sz val="8"/>
      <name val="Calibri"/>
      <family val="2"/>
      <scheme val="minor"/>
    </font>
    <font>
      <b/>
      <sz val="10"/>
      <color indexed="30"/>
      <name val="Arial"/>
      <family val="2"/>
    </font>
    <font>
      <sz val="10"/>
      <color rgb="FFFFFFFF"/>
      <name val="Arial"/>
      <family val="2"/>
    </font>
    <font>
      <b/>
      <sz val="10"/>
      <color rgb="FFFFFFFF"/>
      <name val="Arial"/>
      <family val="2"/>
    </font>
    <font>
      <sz val="11"/>
      <color theme="0"/>
      <name val="Calibri"/>
      <family val="2"/>
      <scheme val="minor"/>
    </font>
    <font>
      <b/>
      <sz val="24"/>
      <color theme="0"/>
      <name val="Arial"/>
      <family val="2"/>
    </font>
    <font>
      <b/>
      <sz val="24"/>
      <color theme="1"/>
      <name val="Arial"/>
      <family val="2"/>
    </font>
    <font>
      <b/>
      <sz val="10"/>
      <color rgb="FF3F3F3F"/>
      <name val="Calibri"/>
      <family val="2"/>
      <scheme val="minor"/>
    </font>
    <font>
      <b/>
      <sz val="11"/>
      <color rgb="FF000000"/>
      <name val="Calibri"/>
      <family val="2"/>
      <scheme val="minor"/>
    </font>
    <font>
      <sz val="11"/>
      <color rgb="FF000000"/>
      <name val="Calibri"/>
      <family val="2"/>
      <scheme val="minor"/>
    </font>
    <font>
      <sz val="18"/>
      <color theme="1"/>
      <name val="Arial"/>
      <family val="2"/>
    </font>
    <font>
      <b/>
      <vertAlign val="superscript"/>
      <sz val="12"/>
      <color theme="1"/>
      <name val="Arial"/>
      <family val="2"/>
    </font>
    <font>
      <b/>
      <sz val="10"/>
      <color rgb="FF000000"/>
      <name val="Calibri"/>
      <family val="2"/>
    </font>
    <font>
      <sz val="10"/>
      <color rgb="FF000000"/>
      <name val="Calibri"/>
      <family val="2"/>
    </font>
  </fonts>
  <fills count="70">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C7CE"/>
      </patternFill>
    </fill>
    <fill>
      <patternFill patternType="solid">
        <fgColor rgb="FFFFFFCC"/>
      </patternFill>
    </fill>
    <fill>
      <patternFill patternType="solid">
        <fgColor rgb="FFFFFFFF"/>
        <bgColor rgb="FF000000"/>
      </patternFill>
    </fill>
    <fill>
      <patternFill patternType="solid">
        <fgColor theme="0"/>
        <bgColor indexed="64"/>
      </patternFill>
    </fill>
    <fill>
      <patternFill patternType="solid">
        <fgColor theme="0"/>
      </patternFill>
    </fill>
    <fill>
      <patternFill patternType="solid">
        <fgColor theme="0"/>
        <bgColor rgb="FF000000"/>
      </patternFill>
    </fill>
    <fill>
      <patternFill patternType="solid">
        <fgColor rgb="FF117655"/>
        <bgColor indexed="64"/>
      </patternFill>
    </fill>
    <fill>
      <patternFill patternType="solid">
        <fgColor rgb="FF12492E"/>
        <bgColor indexed="64"/>
      </patternFill>
    </fill>
    <fill>
      <patternFill patternType="solid">
        <fgColor rgb="FF3FA373"/>
        <bgColor indexed="64"/>
      </patternFill>
    </fill>
    <fill>
      <patternFill patternType="solid">
        <fgColor rgb="FFA95114"/>
        <bgColor indexed="64"/>
      </patternFill>
    </fill>
    <fill>
      <patternFill patternType="solid">
        <fgColor rgb="FF454F53"/>
        <bgColor indexed="64"/>
      </patternFill>
    </fill>
    <fill>
      <patternFill patternType="solid">
        <fgColor rgb="FF120302"/>
        <bgColor indexed="64"/>
      </patternFill>
    </fill>
    <fill>
      <patternFill patternType="solid">
        <fgColor rgb="FF61554A"/>
        <bgColor indexed="64"/>
      </patternFill>
    </fill>
    <fill>
      <patternFill patternType="solid">
        <fgColor rgb="FFC72723"/>
        <bgColor indexed="64"/>
      </patternFill>
    </fill>
    <fill>
      <patternFill patternType="solid">
        <fgColor rgb="FFAA1B13"/>
        <bgColor indexed="64"/>
      </patternFill>
    </fill>
    <fill>
      <patternFill patternType="solid">
        <fgColor rgb="FFD7CF3E"/>
        <bgColor indexed="64"/>
      </patternFill>
    </fill>
    <fill>
      <patternFill patternType="solid">
        <fgColor rgb="FF14416E"/>
        <bgColor indexed="64"/>
      </patternFill>
    </fill>
    <fill>
      <patternFill patternType="solid">
        <fgColor rgb="FF5B11A2"/>
        <bgColor indexed="64"/>
      </patternFill>
    </fill>
    <fill>
      <patternFill patternType="solid">
        <fgColor rgb="FF5B3E0E"/>
        <bgColor indexed="64"/>
      </patternFill>
    </fill>
    <fill>
      <patternFill patternType="solid">
        <fgColor rgb="FF39502D"/>
        <bgColor indexed="64"/>
      </patternFill>
    </fill>
    <fill>
      <patternFill patternType="solid">
        <fgColor rgb="FF8B28B3"/>
        <bgColor indexed="64"/>
      </patternFill>
    </fill>
    <fill>
      <patternFill patternType="solid">
        <fgColor rgb="FFEFE119"/>
        <bgColor indexed="64"/>
      </patternFill>
    </fill>
    <fill>
      <patternFill patternType="solid">
        <fgColor rgb="FFD89B19"/>
        <bgColor indexed="64"/>
      </patternFill>
    </fill>
    <fill>
      <patternFill patternType="solid">
        <fgColor rgb="FF335C89"/>
        <bgColor indexed="64"/>
      </patternFill>
    </fill>
    <fill>
      <patternFill patternType="solid">
        <fgColor rgb="FF5C82A7"/>
        <bgColor indexed="64"/>
      </patternFill>
    </fill>
    <fill>
      <patternFill patternType="solid">
        <fgColor rgb="FF19416C"/>
        <bgColor indexed="64"/>
      </patternFill>
    </fill>
    <fill>
      <patternFill patternType="solid">
        <fgColor rgb="FFB4EC80"/>
        <bgColor indexed="64"/>
      </patternFill>
    </fill>
    <fill>
      <patternFill patternType="solid">
        <fgColor rgb="FF98D862"/>
        <bgColor indexed="64"/>
      </patternFill>
    </fill>
    <fill>
      <patternFill patternType="solid">
        <fgColor rgb="FF6EB739"/>
        <bgColor indexed="64"/>
      </patternFill>
    </fill>
    <fill>
      <patternFill patternType="solid">
        <fgColor rgb="FF5A9D2C"/>
        <bgColor indexed="64"/>
      </patternFill>
    </fill>
    <fill>
      <patternFill patternType="solid">
        <fgColor rgb="FFFE9C85"/>
        <bgColor indexed="64"/>
      </patternFill>
    </fill>
    <fill>
      <patternFill patternType="solid">
        <fgColor rgb="FFEB7B61"/>
        <bgColor indexed="64"/>
      </patternFill>
    </fill>
    <fill>
      <patternFill patternType="solid">
        <fgColor rgb="FFD85F47"/>
        <bgColor indexed="64"/>
      </patternFill>
    </fill>
    <fill>
      <patternFill patternType="solid">
        <fgColor rgb="FFC7462D"/>
        <bgColor indexed="64"/>
      </patternFill>
    </fill>
    <fill>
      <patternFill patternType="solid">
        <fgColor rgb="FF641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335C89"/>
        <bgColor rgb="FF000000"/>
      </patternFill>
    </fill>
    <fill>
      <patternFill patternType="solid">
        <fgColor rgb="FFB4EC80"/>
        <bgColor rgb="FF000000"/>
      </patternFill>
    </fill>
    <fill>
      <patternFill patternType="solid">
        <fgColor rgb="FF98D862"/>
        <bgColor rgb="FF000000"/>
      </patternFill>
    </fill>
    <fill>
      <patternFill patternType="solid">
        <fgColor rgb="FF6EB739"/>
        <bgColor rgb="FF000000"/>
      </patternFill>
    </fill>
    <fill>
      <patternFill patternType="solid">
        <fgColor rgb="FF5A9D2C"/>
        <bgColor rgb="FF000000"/>
      </patternFill>
    </fill>
    <fill>
      <patternFill patternType="solid">
        <fgColor rgb="FF5C82A7"/>
        <bgColor rgb="FF000000"/>
      </patternFill>
    </fill>
    <fill>
      <patternFill patternType="solid">
        <fgColor rgb="FF19416C"/>
        <bgColor rgb="FF000000"/>
      </patternFill>
    </fill>
    <fill>
      <patternFill patternType="solid">
        <fgColor rgb="FFC7462D"/>
        <bgColor rgb="FF000000"/>
      </patternFill>
    </fill>
    <fill>
      <patternFill patternType="solid">
        <fgColor rgb="FF38502D"/>
        <bgColor indexed="64"/>
      </patternFill>
    </fill>
    <fill>
      <patternFill patternType="solid">
        <fgColor rgb="FFD7D03E"/>
        <bgColor indexed="64"/>
      </patternFill>
    </fill>
    <fill>
      <patternFill patternType="solid">
        <fgColor rgb="FFC00000"/>
        <bgColor indexed="64"/>
      </patternFill>
    </fill>
    <fill>
      <patternFill patternType="solid">
        <fgColor rgb="FF110301"/>
        <bgColor indexed="64"/>
      </patternFill>
    </fill>
    <fill>
      <patternFill patternType="solid">
        <fgColor theme="9" tint="-0.49998474074526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rgb="FFF0E119"/>
        <bgColor indexed="64"/>
      </patternFill>
    </fill>
    <fill>
      <patternFill patternType="solid">
        <fgColor rgb="FF13416D"/>
        <bgColor indexed="64"/>
      </patternFill>
    </fill>
    <fill>
      <patternFill patternType="solid">
        <fgColor rgb="FFC82723"/>
        <bgColor indexed="64"/>
      </patternFill>
    </fill>
    <fill>
      <patternFill patternType="solid">
        <fgColor theme="5" tint="-0.499984740745262"/>
        <bgColor indexed="64"/>
      </patternFill>
    </fill>
    <fill>
      <patternFill patternType="solid">
        <fgColor theme="1" tint="4.9989318521683403E-2"/>
        <bgColor indexed="64"/>
      </patternFill>
    </fill>
    <fill>
      <patternFill patternType="solid">
        <fgColor rgb="FF11492E"/>
        <bgColor indexed="64"/>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rgb="FFDDEBF7"/>
        <bgColor rgb="FFDDEBF7"/>
      </patternFill>
    </fill>
    <fill>
      <patternFill patternType="solid">
        <fgColor rgb="FFD9D9D9"/>
        <bgColor rgb="FFD9D9D9"/>
      </patternFill>
    </fill>
    <fill>
      <patternFill patternType="solid">
        <fgColor theme="4" tint="0.59999389629810485"/>
        <bgColor indexed="64"/>
      </patternFill>
    </fill>
  </fills>
  <borders count="10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medium">
        <color auto="1"/>
      </bottom>
      <diagonal/>
    </border>
    <border>
      <left style="thin">
        <color rgb="FF7F7F7F"/>
      </left>
      <right style="thin">
        <color rgb="FF7F7F7F"/>
      </right>
      <top style="thin">
        <color rgb="FF7F7F7F"/>
      </top>
      <bottom style="thin">
        <color rgb="FF7F7F7F"/>
      </bottom>
      <diagonal/>
    </border>
    <border>
      <left/>
      <right/>
      <top/>
      <bottom style="thin">
        <color auto="1"/>
      </bottom>
      <diagonal/>
    </border>
    <border>
      <left/>
      <right style="thin">
        <color auto="1"/>
      </right>
      <top style="thin">
        <color auto="1"/>
      </top>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auto="1"/>
      </left>
      <right/>
      <top/>
      <bottom/>
      <diagonal/>
    </border>
    <border>
      <left/>
      <right/>
      <top style="thin">
        <color auto="1"/>
      </top>
      <bottom/>
      <diagonal/>
    </border>
    <border>
      <left style="thin">
        <color rgb="FF7F7F7F"/>
      </left>
      <right style="thin">
        <color auto="1"/>
      </right>
      <top style="thin">
        <color auto="1"/>
      </top>
      <bottom style="thin">
        <color rgb="FF7F7F7F"/>
      </bottom>
      <diagonal/>
    </border>
    <border>
      <left/>
      <right style="thin">
        <color rgb="FF7F7F7F"/>
      </right>
      <top style="thin">
        <color rgb="FF7F7F7F"/>
      </top>
      <bottom style="thin">
        <color rgb="FF7F7F7F"/>
      </bottom>
      <diagonal/>
    </border>
    <border>
      <left/>
      <right/>
      <top style="thin">
        <color auto="1"/>
      </top>
      <bottom style="thin">
        <color auto="1"/>
      </bottom>
      <diagonal/>
    </border>
    <border>
      <left style="thin">
        <color rgb="FF7F7F7F"/>
      </left>
      <right style="thin">
        <color rgb="FF7F7F7F"/>
      </right>
      <top style="thin">
        <color rgb="FF7F7F7F"/>
      </top>
      <bottom/>
      <diagonal/>
    </border>
    <border>
      <left/>
      <right/>
      <top style="thin">
        <color auto="1"/>
      </top>
      <bottom style="double">
        <color rgb="FF3F3F3F"/>
      </bottom>
      <diagonal/>
    </border>
    <border>
      <left style="thin">
        <color rgb="FF3F3F3F"/>
      </left>
      <right style="thin">
        <color rgb="FF3F3F3F"/>
      </right>
      <top style="thin">
        <color auto="1"/>
      </top>
      <bottom style="double">
        <color rgb="FF3F3F3F"/>
      </bottom>
      <diagonal/>
    </border>
    <border>
      <left/>
      <right style="thin">
        <color rgb="FF7F7F7F"/>
      </right>
      <top/>
      <bottom style="thin">
        <color auto="1"/>
      </bottom>
      <diagonal/>
    </border>
    <border>
      <left/>
      <right style="thin">
        <color auto="1"/>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style="thin">
        <color rgb="FF3F3F3F"/>
      </right>
      <top style="thin">
        <color rgb="FF3F3F3F"/>
      </top>
      <bottom style="thin">
        <color rgb="FF3F3F3F"/>
      </bottom>
      <diagonal/>
    </border>
    <border>
      <left style="thin">
        <color auto="1"/>
      </left>
      <right/>
      <top style="thin">
        <color auto="1"/>
      </top>
      <bottom/>
      <diagonal/>
    </border>
    <border>
      <left style="thin">
        <color auto="1"/>
      </left>
      <right/>
      <top style="thin">
        <color auto="1"/>
      </top>
      <bottom style="medium">
        <color auto="1"/>
      </bottom>
      <diagonal/>
    </border>
    <border>
      <left/>
      <right/>
      <top/>
      <bottom style="thin">
        <color rgb="FF335C89"/>
      </bottom>
      <diagonal/>
    </border>
    <border>
      <left style="thin">
        <color auto="1"/>
      </left>
      <right/>
      <top/>
      <bottom style="thin">
        <color rgb="FF335C89"/>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medium">
        <color theme="1"/>
      </left>
      <right/>
      <top/>
      <bottom/>
      <diagonal/>
    </border>
    <border>
      <left/>
      <right style="medium">
        <color theme="1"/>
      </right>
      <top/>
      <bottom style="thin">
        <color auto="1"/>
      </bottom>
      <diagonal/>
    </border>
    <border>
      <left/>
      <right style="medium">
        <color theme="1"/>
      </right>
      <top style="thin">
        <color auto="1"/>
      </top>
      <bottom style="thin">
        <color auto="1"/>
      </bottom>
      <diagonal/>
    </border>
    <border>
      <left/>
      <right style="medium">
        <color theme="1"/>
      </right>
      <top/>
      <bottom/>
      <diagonal/>
    </border>
    <border>
      <left/>
      <right/>
      <top/>
      <bottom style="medium">
        <color theme="1"/>
      </bottom>
      <diagonal/>
    </border>
    <border>
      <left style="thin">
        <color auto="1"/>
      </left>
      <right/>
      <top/>
      <bottom style="medium">
        <color theme="1"/>
      </bottom>
      <diagonal/>
    </border>
    <border>
      <left/>
      <right style="medium">
        <color theme="1"/>
      </right>
      <top/>
      <bottom style="medium">
        <color theme="1"/>
      </bottom>
      <diagonal/>
    </border>
    <border>
      <left style="thin">
        <color theme="1"/>
      </left>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right/>
      <top/>
      <bottom style="thin">
        <color theme="1"/>
      </bottom>
      <diagonal/>
    </border>
    <border>
      <left style="thin">
        <color auto="1"/>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style="medium">
        <color theme="1"/>
      </left>
      <right/>
      <top/>
      <bottom style="medium">
        <color theme="1"/>
      </bottom>
      <diagonal/>
    </border>
    <border>
      <left/>
      <right style="thin">
        <color auto="1"/>
      </right>
      <top/>
      <bottom style="thin">
        <color theme="1"/>
      </bottom>
      <diagonal/>
    </border>
    <border>
      <left/>
      <right style="thin">
        <color theme="1"/>
      </right>
      <top/>
      <bottom style="thin">
        <color rgb="FF335C89"/>
      </bottom>
      <diagonal/>
    </border>
    <border>
      <left/>
      <right style="medium">
        <color theme="1"/>
      </right>
      <top/>
      <bottom style="thin">
        <color rgb="FF335C89"/>
      </bottom>
      <diagonal/>
    </border>
    <border>
      <left style="thin">
        <color theme="1"/>
      </left>
      <right/>
      <top/>
      <bottom style="thin">
        <color rgb="FF335C89"/>
      </bottom>
      <diagonal/>
    </border>
    <border>
      <left/>
      <right/>
      <top/>
      <bottom style="thin">
        <color rgb="FF5C82A7"/>
      </bottom>
      <diagonal/>
    </border>
    <border>
      <left style="thin">
        <color auto="1"/>
      </left>
      <right/>
      <top/>
      <bottom style="thin">
        <color rgb="FF5C82A7"/>
      </bottom>
      <diagonal/>
    </border>
    <border>
      <left style="thin">
        <color theme="1"/>
      </left>
      <right/>
      <top/>
      <bottom style="thin">
        <color rgb="FF5C82A7"/>
      </bottom>
      <diagonal/>
    </border>
    <border>
      <left/>
      <right style="thin">
        <color theme="1"/>
      </right>
      <top/>
      <bottom style="thin">
        <color rgb="FF5C82A7"/>
      </bottom>
      <diagonal/>
    </border>
    <border>
      <left/>
      <right style="medium">
        <color theme="1"/>
      </right>
      <top/>
      <bottom style="thin">
        <color rgb="FF5C82A7"/>
      </bottom>
      <diagonal/>
    </border>
    <border>
      <left/>
      <right style="thin">
        <color theme="1"/>
      </right>
      <top style="thin">
        <color theme="1"/>
      </top>
      <bottom/>
      <diagonal/>
    </border>
    <border>
      <left style="double">
        <color rgb="FF3F3F3F"/>
      </left>
      <right/>
      <top style="double">
        <color rgb="FF3F3F3F"/>
      </top>
      <bottom style="double">
        <color rgb="FF3F3F3F"/>
      </bottom>
      <diagonal/>
    </border>
    <border>
      <left style="double">
        <color theme="1"/>
      </left>
      <right/>
      <top style="thin">
        <color theme="1"/>
      </top>
      <bottom style="thin">
        <color theme="1"/>
      </bottom>
      <diagonal/>
    </border>
    <border>
      <left style="double">
        <color theme="1"/>
      </left>
      <right/>
      <top style="thin">
        <color theme="1"/>
      </top>
      <bottom/>
      <diagonal/>
    </border>
    <border>
      <left style="double">
        <color theme="1"/>
      </left>
      <right/>
      <top/>
      <bottom style="thin">
        <color theme="1"/>
      </bottom>
      <diagonal/>
    </border>
    <border>
      <left style="double">
        <color theme="1"/>
      </left>
      <right/>
      <top/>
      <bottom/>
      <diagonal/>
    </border>
    <border>
      <left style="double">
        <color theme="1"/>
      </left>
      <right style="thin">
        <color rgb="FF3F3F3F"/>
      </right>
      <top style="thin">
        <color rgb="FF3F3F3F"/>
      </top>
      <bottom style="thin">
        <color rgb="FF3F3F3F"/>
      </bottom>
      <diagonal/>
    </border>
    <border>
      <left style="thin">
        <color rgb="FF3F3F3F"/>
      </left>
      <right style="thin">
        <color rgb="FF3F3F3F"/>
      </right>
      <top/>
      <bottom style="thin">
        <color rgb="FF3F3F3F"/>
      </bottom>
      <diagonal/>
    </border>
    <border>
      <left style="thin">
        <color auto="1"/>
      </left>
      <right style="thin">
        <color rgb="FF3F3F3F"/>
      </right>
      <top style="thin">
        <color auto="1"/>
      </top>
      <bottom style="thin">
        <color auto="1"/>
      </bottom>
      <diagonal/>
    </border>
    <border>
      <left style="thin">
        <color rgb="FF3F3F3F"/>
      </left>
      <right style="thin">
        <color rgb="FF3F3F3F"/>
      </right>
      <top style="thin">
        <color auto="1"/>
      </top>
      <bottom style="thin">
        <color auto="1"/>
      </bottom>
      <diagonal/>
    </border>
    <border>
      <left style="thin">
        <color rgb="FF3F3F3F"/>
      </left>
      <right style="thin">
        <color auto="1"/>
      </right>
      <top style="thin">
        <color auto="1"/>
      </top>
      <bottom style="thin">
        <color auto="1"/>
      </bottom>
      <diagonal/>
    </border>
    <border>
      <left style="thin">
        <color rgb="FF3F3F3F"/>
      </left>
      <right/>
      <top/>
      <bottom style="thin">
        <color rgb="FF3F3F3F"/>
      </bottom>
      <diagonal/>
    </border>
    <border>
      <left style="thin">
        <color rgb="FF3F3F3F"/>
      </left>
      <right/>
      <top style="thin">
        <color rgb="FF3F3F3F"/>
      </top>
      <bottom/>
      <diagonal/>
    </border>
    <border>
      <left/>
      <right/>
      <top/>
      <bottom style="thin">
        <color theme="4" tint="0.39997558519241921"/>
      </bottom>
      <diagonal/>
    </border>
    <border>
      <left/>
      <right/>
      <top style="thin">
        <color theme="4" tint="0.39997558519241921"/>
      </top>
      <bottom/>
      <diagonal/>
    </border>
    <border>
      <left/>
      <right/>
      <top/>
      <bottom style="thin">
        <color rgb="FF9BC2E6"/>
      </bottom>
      <diagonal/>
    </border>
    <border>
      <left/>
      <right/>
      <top style="thin">
        <color rgb="FF9BC2E6"/>
      </top>
      <bottom/>
      <diagonal/>
    </border>
    <border>
      <left style="thin">
        <color auto="1"/>
      </left>
      <right/>
      <top style="thin">
        <color theme="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1"/>
      </left>
      <right/>
      <top style="medium">
        <color theme="1"/>
      </top>
      <bottom style="thin">
        <color theme="1"/>
      </bottom>
      <diagonal/>
    </border>
    <border>
      <left/>
      <right style="medium">
        <color theme="1"/>
      </right>
      <top style="medium">
        <color theme="1"/>
      </top>
      <bottom style="thin">
        <color theme="1"/>
      </bottom>
      <diagonal/>
    </border>
    <border>
      <left/>
      <right style="medium">
        <color theme="1"/>
      </right>
      <top/>
      <bottom style="thin">
        <color theme="1"/>
      </bottom>
      <diagonal/>
    </border>
    <border>
      <left style="thin">
        <color auto="1"/>
      </left>
      <right/>
      <top style="thin">
        <color theme="1"/>
      </top>
      <bottom style="thin">
        <color theme="1"/>
      </bottom>
      <diagonal/>
    </border>
    <border>
      <left style="thin">
        <color auto="1"/>
      </left>
      <right/>
      <top/>
      <bottom style="double">
        <color rgb="FFFF8001"/>
      </bottom>
      <diagonal/>
    </border>
    <border>
      <left style="thin">
        <color rgb="FF3F3F3F"/>
      </left>
      <right style="thin">
        <color rgb="FF3F3F3F"/>
      </right>
      <top style="thin">
        <color rgb="FF3F3F3F"/>
      </top>
      <bottom/>
      <diagonal/>
    </border>
    <border>
      <left style="double">
        <color auto="1"/>
      </left>
      <right/>
      <top style="thin">
        <color theme="1"/>
      </top>
      <bottom/>
      <diagonal/>
    </border>
    <border>
      <left style="double">
        <color auto="1"/>
      </left>
      <right style="thin">
        <color rgb="FF3F3F3F"/>
      </right>
      <top style="thin">
        <color rgb="FF3F3F3F"/>
      </top>
      <bottom style="thin">
        <color rgb="FF3F3F3F"/>
      </bottom>
      <diagonal/>
    </border>
    <border>
      <left style="double">
        <color auto="1"/>
      </left>
      <right/>
      <top/>
      <bottom/>
      <diagonal/>
    </border>
    <border>
      <left style="double">
        <color auto="1"/>
      </left>
      <right/>
      <top style="thin">
        <color auto="1"/>
      </top>
      <bottom/>
      <diagonal/>
    </border>
    <border>
      <left style="double">
        <color auto="1"/>
      </left>
      <right style="thin">
        <color rgb="FF3F3F3F"/>
      </right>
      <top style="thin">
        <color rgb="FF3F3F3F"/>
      </top>
      <bottom style="thin">
        <color auto="1"/>
      </bottom>
      <diagonal/>
    </border>
    <border>
      <left style="double">
        <color auto="1"/>
      </left>
      <right style="thin">
        <color auto="1"/>
      </right>
      <top style="thin">
        <color auto="1"/>
      </top>
      <bottom style="thin">
        <color auto="1"/>
      </bottom>
      <diagonal/>
    </border>
    <border>
      <left style="double">
        <color auto="1"/>
      </left>
      <right/>
      <top/>
      <bottom style="thin">
        <color theme="1"/>
      </bottom>
      <diagonal/>
    </border>
    <border>
      <left style="double">
        <color auto="1"/>
      </left>
      <right style="thin">
        <color rgb="FF3F3F3F"/>
      </right>
      <top style="thin">
        <color auto="1"/>
      </top>
      <bottom style="thin">
        <color auto="1"/>
      </bottom>
      <diagonal/>
    </border>
    <border>
      <left style="double">
        <color auto="1"/>
      </left>
      <right style="thin">
        <color rgb="FF3F3F3F"/>
      </right>
      <top style="thin">
        <color rgb="FF3F3F3F"/>
      </top>
      <bottom/>
      <diagonal/>
    </border>
    <border>
      <left style="double">
        <color auto="1"/>
      </left>
      <right/>
      <top style="thin">
        <color rgb="FF3F3F3F"/>
      </top>
      <bottom/>
      <diagonal/>
    </border>
    <border>
      <left style="thin">
        <color rgb="FF3F3F3F"/>
      </left>
      <right style="thin">
        <color auto="1"/>
      </right>
      <top style="thin">
        <color rgb="FF3F3F3F"/>
      </top>
      <bottom style="thin">
        <color auto="1"/>
      </bottom>
      <diagonal/>
    </border>
  </borders>
  <cellStyleXfs count="769">
    <xf numFmtId="0" fontId="0" fillId="0" borderId="0"/>
    <xf numFmtId="0" fontId="5" fillId="4" borderId="6" applyNumberFormat="0" applyAlignment="0" applyProtection="0"/>
    <xf numFmtId="0" fontId="6" fillId="5" borderId="6"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4" fillId="0" borderId="0" applyFont="0" applyFill="0" applyBorder="0" applyAlignment="0" applyProtection="0"/>
    <xf numFmtId="0" fontId="11" fillId="5" borderId="9" applyNumberFormat="0" applyAlignment="0" applyProtection="0"/>
    <xf numFmtId="0" fontId="12" fillId="0" borderId="10" applyNumberFormat="0" applyFill="0" applyAlignment="0" applyProtection="0"/>
    <xf numFmtId="0" fontId="13" fillId="6" borderId="11"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4"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7" fillId="7"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9" fontId="2" fillId="0" borderId="0" applyFont="0" applyFill="0" applyBorder="0" applyAlignment="0" applyProtection="0"/>
    <xf numFmtId="0" fontId="2" fillId="8" borderId="24" applyNumberFormat="0" applyFont="0" applyAlignment="0" applyProtection="0"/>
    <xf numFmtId="0" fontId="19" fillId="0" borderId="0" applyNumberFormat="0" applyFill="0" applyBorder="0" applyAlignment="0" applyProtection="0"/>
    <xf numFmtId="0" fontId="22" fillId="0" borderId="0"/>
    <xf numFmtId="0" fontId="1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 fillId="0" borderId="0"/>
  </cellStyleXfs>
  <cellXfs count="848">
    <xf numFmtId="0" fontId="0" fillId="0" borderId="0" xfId="0"/>
    <xf numFmtId="0" fontId="3" fillId="0" borderId="0" xfId="0" applyFont="1"/>
    <xf numFmtId="0" fontId="0" fillId="0" borderId="0" xfId="0" applyAlignment="1">
      <alignment horizontal="left" indent="1"/>
    </xf>
    <xf numFmtId="0" fontId="0" fillId="0" borderId="0" xfId="0" applyAlignment="1">
      <alignment horizontal="left"/>
    </xf>
    <xf numFmtId="0" fontId="0" fillId="0" borderId="0" xfId="0" applyAlignment="1">
      <alignment horizontal="center" wrapText="1"/>
    </xf>
    <xf numFmtId="0" fontId="0" fillId="0" borderId="0" xfId="0" applyNumberFormat="1"/>
    <xf numFmtId="0" fontId="0" fillId="0" borderId="0" xfId="0" pivotButton="1"/>
    <xf numFmtId="0" fontId="27" fillId="0" borderId="0" xfId="0" applyFont="1" applyFill="1" applyBorder="1" applyAlignment="1" applyProtection="1">
      <alignment horizontal="center" wrapText="1"/>
      <protection locked="0"/>
    </xf>
    <xf numFmtId="0" fontId="27" fillId="0" borderId="0" xfId="0" applyFont="1" applyFill="1" applyBorder="1" applyAlignment="1">
      <alignment horizontal="center" wrapText="1"/>
    </xf>
    <xf numFmtId="0" fontId="34" fillId="0" borderId="0" xfId="0" applyFont="1" applyBorder="1"/>
    <xf numFmtId="0" fontId="34" fillId="0" borderId="0" xfId="0" applyFont="1" applyFill="1" applyBorder="1" applyAlignment="1">
      <alignment vertical="center"/>
    </xf>
    <xf numFmtId="0" fontId="34" fillId="0" borderId="0" xfId="0" applyFont="1" applyFill="1"/>
    <xf numFmtId="0" fontId="34" fillId="0" borderId="0" xfId="0" applyFont="1"/>
    <xf numFmtId="0" fontId="37" fillId="0" borderId="0" xfId="0" applyFont="1"/>
    <xf numFmtId="0" fontId="37" fillId="0" borderId="0" xfId="747" applyFont="1"/>
    <xf numFmtId="11" fontId="37" fillId="4" borderId="6" xfId="1" applyNumberFormat="1" applyFont="1"/>
    <xf numFmtId="0" fontId="34" fillId="0" borderId="0" xfId="747" applyFont="1"/>
    <xf numFmtId="0" fontId="34" fillId="0" borderId="0" xfId="747" applyFont="1" applyBorder="1"/>
    <xf numFmtId="1" fontId="34" fillId="0" borderId="0" xfId="747" applyNumberFormat="1" applyFont="1"/>
    <xf numFmtId="0" fontId="26" fillId="0" borderId="0" xfId="747" applyFont="1"/>
    <xf numFmtId="2" fontId="34" fillId="0" borderId="0" xfId="747" applyNumberFormat="1" applyFont="1"/>
    <xf numFmtId="0" fontId="26" fillId="0" borderId="0" xfId="0" applyFont="1"/>
    <xf numFmtId="1" fontId="34" fillId="0" borderId="0" xfId="0" applyNumberFormat="1" applyFont="1"/>
    <xf numFmtId="1" fontId="40" fillId="0" borderId="10" xfId="81" applyNumberFormat="1" applyFont="1"/>
    <xf numFmtId="1" fontId="35" fillId="5" borderId="6" xfId="2" applyNumberFormat="1" applyFont="1"/>
    <xf numFmtId="0" fontId="35" fillId="5" borderId="6" xfId="2" applyFont="1"/>
    <xf numFmtId="0" fontId="41" fillId="0" borderId="0" xfId="0" applyFont="1" applyAlignment="1">
      <alignment horizontal="left" indent="1"/>
    </xf>
    <xf numFmtId="1" fontId="34" fillId="0" borderId="0" xfId="0" applyNumberFormat="1" applyFont="1" applyFill="1"/>
    <xf numFmtId="0" fontId="39" fillId="0" borderId="0" xfId="0" applyFont="1" applyAlignment="1">
      <alignment horizontal="center"/>
    </xf>
    <xf numFmtId="0" fontId="34" fillId="0" borderId="0" xfId="0" applyFont="1" applyBorder="1" applyAlignment="1">
      <alignment vertical="center"/>
    </xf>
    <xf numFmtId="1" fontId="34" fillId="0" borderId="0" xfId="0" applyNumberFormat="1" applyFont="1" applyBorder="1" applyAlignment="1">
      <alignment vertical="center"/>
    </xf>
    <xf numFmtId="9" fontId="34" fillId="0" borderId="0" xfId="748" applyFont="1"/>
    <xf numFmtId="169" fontId="44" fillId="5" borderId="9" xfId="80" applyNumberFormat="1" applyFont="1"/>
    <xf numFmtId="11" fontId="34" fillId="0" borderId="0" xfId="747" applyNumberFormat="1" applyFont="1"/>
    <xf numFmtId="0" fontId="36" fillId="0" borderId="0" xfId="747" applyFont="1"/>
    <xf numFmtId="177" fontId="34" fillId="0" borderId="0" xfId="747" applyNumberFormat="1" applyFont="1"/>
    <xf numFmtId="9" fontId="35" fillId="5" borderId="6" xfId="2" applyNumberFormat="1" applyFont="1"/>
    <xf numFmtId="0" fontId="34" fillId="0" borderId="0" xfId="0" applyFont="1" applyBorder="1" applyProtection="1">
      <protection locked="0"/>
    </xf>
    <xf numFmtId="0" fontId="34" fillId="0" borderId="0" xfId="0" applyFont="1" applyFill="1" applyBorder="1" applyProtection="1">
      <protection locked="0"/>
    </xf>
    <xf numFmtId="0" fontId="34" fillId="0" borderId="0" xfId="0" applyFont="1" applyFill="1" applyBorder="1" applyAlignment="1" applyProtection="1">
      <alignment horizontal="center"/>
      <protection locked="0"/>
    </xf>
    <xf numFmtId="0" fontId="34" fillId="0" borderId="0" xfId="0" applyFont="1" applyFill="1" applyBorder="1" applyAlignment="1" applyProtection="1">
      <alignment vertical="center"/>
      <protection locked="0"/>
    </xf>
    <xf numFmtId="0" fontId="34" fillId="0" borderId="0" xfId="0" applyFont="1" applyProtection="1">
      <protection locked="0"/>
    </xf>
    <xf numFmtId="0" fontId="34" fillId="0" borderId="0" xfId="0" applyFont="1" applyFill="1" applyProtection="1">
      <protection locked="0"/>
    </xf>
    <xf numFmtId="0" fontId="34" fillId="0" borderId="0" xfId="0" applyFont="1" applyFill="1" applyBorder="1"/>
    <xf numFmtId="170" fontId="34" fillId="0" borderId="0" xfId="0" applyNumberFormat="1" applyFont="1" applyProtection="1">
      <protection locked="0"/>
    </xf>
    <xf numFmtId="0" fontId="34" fillId="0" borderId="0" xfId="0" applyFont="1" applyBorder="1" applyAlignment="1">
      <alignment horizontal="center"/>
    </xf>
    <xf numFmtId="0" fontId="34" fillId="0" borderId="0" xfId="0" applyFont="1" applyFill="1" applyBorder="1" applyAlignment="1">
      <alignment horizontal="center"/>
    </xf>
    <xf numFmtId="11" fontId="35" fillId="5" borderId="6" xfId="2" applyNumberFormat="1" applyFont="1" applyAlignment="1">
      <alignment horizontal="center"/>
    </xf>
    <xf numFmtId="11" fontId="35" fillId="5" borderId="14" xfId="2" applyNumberFormat="1" applyFont="1" applyBorder="1" applyAlignment="1">
      <alignment horizontal="center"/>
    </xf>
    <xf numFmtId="11" fontId="35" fillId="5" borderId="15" xfId="2" applyNumberFormat="1" applyFont="1" applyBorder="1" applyAlignment="1">
      <alignment horizontal="center"/>
    </xf>
    <xf numFmtId="11" fontId="35" fillId="5" borderId="6" xfId="2" applyNumberFormat="1" applyFont="1"/>
    <xf numFmtId="0" fontId="48" fillId="4" borderId="6" xfId="1" applyFont="1"/>
    <xf numFmtId="11" fontId="40" fillId="0" borderId="10" xfId="81" applyNumberFormat="1" applyFont="1"/>
    <xf numFmtId="9" fontId="34" fillId="0" borderId="0" xfId="79" applyNumberFormat="1" applyFont="1"/>
    <xf numFmtId="11" fontId="40" fillId="5" borderId="10" xfId="81" applyNumberFormat="1" applyFont="1" applyFill="1"/>
    <xf numFmtId="0" fontId="49" fillId="7" borderId="0" xfId="742" applyFont="1"/>
    <xf numFmtId="169" fontId="49" fillId="7" borderId="0" xfId="742" applyNumberFormat="1" applyFont="1"/>
    <xf numFmtId="9" fontId="49" fillId="7" borderId="0" xfId="742" applyNumberFormat="1" applyFont="1"/>
    <xf numFmtId="9" fontId="35" fillId="5" borderId="6" xfId="2" applyNumberFormat="1" applyFont="1" applyAlignment="1">
      <alignment horizontal="center"/>
    </xf>
    <xf numFmtId="11" fontId="48" fillId="4" borderId="6" xfId="1" applyNumberFormat="1" applyFont="1"/>
    <xf numFmtId="11" fontId="48" fillId="4" borderId="15" xfId="1" applyNumberFormat="1" applyFont="1" applyBorder="1"/>
    <xf numFmtId="11" fontId="48" fillId="4" borderId="17" xfId="1" applyNumberFormat="1" applyFont="1" applyBorder="1"/>
    <xf numFmtId="11" fontId="44" fillId="5" borderId="19" xfId="80" applyNumberFormat="1" applyFont="1" applyBorder="1"/>
    <xf numFmtId="0" fontId="45" fillId="6" borderId="11" xfId="82" applyFont="1"/>
    <xf numFmtId="11" fontId="45" fillId="6" borderId="11" xfId="82" applyNumberFormat="1" applyFont="1"/>
    <xf numFmtId="1" fontId="48" fillId="4" borderId="6" xfId="1" applyNumberFormat="1" applyFont="1"/>
    <xf numFmtId="2" fontId="48" fillId="4" borderId="6" xfId="1" applyNumberFormat="1" applyFont="1"/>
    <xf numFmtId="9" fontId="35" fillId="5" borderId="6" xfId="79" applyFont="1" applyFill="1" applyBorder="1"/>
    <xf numFmtId="1" fontId="40" fillId="5" borderId="10" xfId="81" applyNumberFormat="1" applyFont="1" applyFill="1"/>
    <xf numFmtId="1" fontId="50" fillId="5" borderId="6" xfId="2" applyNumberFormat="1" applyFont="1"/>
    <xf numFmtId="0" fontId="26" fillId="0" borderId="0" xfId="0" applyFont="1" applyAlignment="1">
      <alignment horizontal="center"/>
    </xf>
    <xf numFmtId="10" fontId="48" fillId="4" borderId="6" xfId="1" applyNumberFormat="1" applyFont="1"/>
    <xf numFmtId="0" fontId="34" fillId="10" borderId="0" xfId="0" applyFont="1" applyFill="1" applyBorder="1"/>
    <xf numFmtId="0" fontId="34" fillId="10" borderId="0" xfId="0" applyFont="1" applyFill="1" applyBorder="1" applyAlignment="1">
      <alignment vertical="center"/>
    </xf>
    <xf numFmtId="0" fontId="34" fillId="10" borderId="0" xfId="0" applyFont="1" applyFill="1" applyBorder="1" applyAlignment="1">
      <alignment horizontal="center"/>
    </xf>
    <xf numFmtId="0" fontId="34" fillId="0" borderId="0" xfId="0" applyFont="1" applyFill="1" applyAlignment="1">
      <alignment vertical="center"/>
    </xf>
    <xf numFmtId="0" fontId="37" fillId="10" borderId="0" xfId="0" applyFont="1" applyFill="1" applyBorder="1" applyAlignment="1">
      <alignment vertical="center"/>
    </xf>
    <xf numFmtId="0" fontId="34" fillId="10" borderId="0" xfId="0" applyFont="1" applyFill="1"/>
    <xf numFmtId="178" fontId="35" fillId="3" borderId="12" xfId="2" applyNumberFormat="1" applyFont="1" applyFill="1" applyBorder="1" applyAlignment="1">
      <alignment vertical="center"/>
    </xf>
    <xf numFmtId="178" fontId="26" fillId="3" borderId="3" xfId="0" applyNumberFormat="1" applyFont="1" applyFill="1" applyBorder="1" applyAlignment="1" applyProtection="1">
      <alignment horizontal="center" vertical="center"/>
      <protection locked="0"/>
    </xf>
    <xf numFmtId="0" fontId="34" fillId="0" borderId="0" xfId="0" applyFont="1" applyAlignment="1">
      <alignment vertical="center"/>
    </xf>
    <xf numFmtId="3" fontId="38" fillId="0" borderId="0" xfId="0" applyNumberFormat="1" applyFont="1" applyFill="1" applyBorder="1" applyAlignment="1">
      <alignment vertical="center"/>
    </xf>
    <xf numFmtId="3" fontId="37" fillId="0" borderId="0" xfId="0" applyNumberFormat="1" applyFont="1" applyFill="1" applyBorder="1" applyAlignment="1">
      <alignment vertical="center"/>
    </xf>
    <xf numFmtId="11" fontId="34" fillId="0" borderId="0" xfId="0" applyNumberFormat="1" applyFont="1" applyAlignment="1">
      <alignment vertical="center"/>
    </xf>
    <xf numFmtId="169" fontId="34" fillId="0" borderId="0" xfId="0" applyNumberFormat="1" applyFont="1" applyAlignment="1">
      <alignment vertical="center"/>
    </xf>
    <xf numFmtId="0" fontId="22" fillId="0" borderId="0" xfId="0" applyFont="1" applyFill="1" applyAlignment="1">
      <alignment vertical="center"/>
    </xf>
    <xf numFmtId="0" fontId="22" fillId="0" borderId="0" xfId="0" applyFont="1" applyFill="1" applyBorder="1" applyAlignment="1">
      <alignment vertical="center"/>
    </xf>
    <xf numFmtId="0" fontId="53" fillId="0" borderId="0" xfId="0" applyFont="1" applyFill="1" applyBorder="1" applyAlignment="1">
      <alignment vertical="center"/>
    </xf>
    <xf numFmtId="169" fontId="53" fillId="0" borderId="0" xfId="0" applyNumberFormat="1" applyFont="1" applyFill="1" applyBorder="1" applyAlignment="1">
      <alignment vertical="center"/>
    </xf>
    <xf numFmtId="169" fontId="22" fillId="0" borderId="0" xfId="0" applyNumberFormat="1" applyFont="1" applyFill="1" applyBorder="1" applyAlignment="1">
      <alignment vertical="center"/>
    </xf>
    <xf numFmtId="169" fontId="37" fillId="10" borderId="0" xfId="0" applyNumberFormat="1" applyFont="1" applyFill="1" applyBorder="1" applyAlignment="1">
      <alignment vertical="center"/>
    </xf>
    <xf numFmtId="3" fontId="37" fillId="10" borderId="0" xfId="0" applyNumberFormat="1" applyFont="1" applyFill="1" applyBorder="1" applyAlignment="1">
      <alignment vertical="center"/>
    </xf>
    <xf numFmtId="169" fontId="34" fillId="10" borderId="0" xfId="0" applyNumberFormat="1" applyFont="1" applyFill="1" applyBorder="1" applyAlignment="1">
      <alignment vertical="center"/>
    </xf>
    <xf numFmtId="0" fontId="32" fillId="10" borderId="0" xfId="0" applyFont="1" applyFill="1" applyBorder="1" applyAlignment="1">
      <alignment vertical="center"/>
    </xf>
    <xf numFmtId="0" fontId="31" fillId="10" borderId="7" xfId="0" applyFont="1" applyFill="1" applyBorder="1" applyAlignment="1">
      <alignment horizontal="center" vertical="center" wrapText="1"/>
    </xf>
    <xf numFmtId="0" fontId="28" fillId="31" borderId="43" xfId="0" applyFont="1" applyFill="1" applyBorder="1" applyAlignment="1">
      <alignment vertical="center"/>
    </xf>
    <xf numFmtId="3" fontId="30" fillId="31" borderId="43" xfId="0" applyNumberFormat="1" applyFont="1" applyFill="1" applyBorder="1" applyAlignment="1">
      <alignment vertical="center"/>
    </xf>
    <xf numFmtId="0" fontId="29" fillId="31" borderId="43" xfId="0" applyFont="1" applyFill="1" applyBorder="1" applyAlignment="1">
      <alignment vertical="center"/>
    </xf>
    <xf numFmtId="0" fontId="29" fillId="10" borderId="0" xfId="0" applyFont="1" applyFill="1" applyBorder="1" applyAlignment="1">
      <alignment vertical="center"/>
    </xf>
    <xf numFmtId="169" fontId="29" fillId="10" borderId="0" xfId="0" applyNumberFormat="1" applyFont="1" applyFill="1" applyBorder="1" applyAlignment="1">
      <alignment vertical="center"/>
    </xf>
    <xf numFmtId="0" fontId="30" fillId="10" borderId="16" xfId="0" applyFont="1" applyFill="1" applyBorder="1" applyAlignment="1">
      <alignment vertical="center"/>
    </xf>
    <xf numFmtId="169" fontId="30" fillId="10" borderId="16" xfId="0" applyNumberFormat="1" applyFont="1" applyFill="1" applyBorder="1" applyAlignment="1">
      <alignment vertical="center"/>
    </xf>
    <xf numFmtId="3" fontId="28" fillId="35" borderId="7" xfId="0" applyNumberFormat="1" applyFont="1" applyFill="1" applyBorder="1" applyAlignment="1">
      <alignment vertical="center"/>
    </xf>
    <xf numFmtId="169" fontId="29" fillId="35" borderId="7" xfId="0" applyNumberFormat="1" applyFont="1" applyFill="1" applyBorder="1" applyAlignment="1">
      <alignment vertical="center"/>
    </xf>
    <xf numFmtId="3" fontId="29" fillId="10" borderId="0" xfId="0" applyNumberFormat="1" applyFont="1" applyFill="1" applyBorder="1" applyAlignment="1">
      <alignment vertical="center"/>
    </xf>
    <xf numFmtId="3" fontId="30" fillId="10" borderId="16" xfId="0" applyNumberFormat="1" applyFont="1" applyFill="1" applyBorder="1" applyAlignment="1">
      <alignment vertical="center"/>
    </xf>
    <xf numFmtId="0" fontId="30" fillId="37" borderId="7" xfId="0" applyFont="1" applyFill="1" applyBorder="1" applyAlignment="1">
      <alignment vertical="center"/>
    </xf>
    <xf numFmtId="169" fontId="29" fillId="37" borderId="7" xfId="0" applyNumberFormat="1" applyFont="1" applyFill="1" applyBorder="1" applyAlignment="1">
      <alignment vertical="center"/>
    </xf>
    <xf numFmtId="169" fontId="32" fillId="10" borderId="0" xfId="0" applyNumberFormat="1" applyFont="1" applyFill="1" applyBorder="1" applyAlignment="1">
      <alignment vertical="center"/>
    </xf>
    <xf numFmtId="169" fontId="29" fillId="10" borderId="0" xfId="0" quotePrefix="1" applyNumberFormat="1" applyFont="1" applyFill="1" applyBorder="1" applyAlignment="1">
      <alignment horizontal="right" vertical="center"/>
    </xf>
    <xf numFmtId="0" fontId="30" fillId="43" borderId="7" xfId="0" applyFont="1" applyFill="1" applyBorder="1" applyAlignment="1">
      <alignment vertical="center"/>
    </xf>
    <xf numFmtId="169" fontId="29" fillId="43" borderId="7" xfId="0" applyNumberFormat="1" applyFont="1" applyFill="1" applyBorder="1" applyAlignment="1">
      <alignment vertical="center"/>
    </xf>
    <xf numFmtId="0" fontId="30" fillId="10" borderId="47" xfId="0" applyFont="1" applyFill="1" applyBorder="1" applyAlignment="1">
      <alignment vertical="center"/>
    </xf>
    <xf numFmtId="169" fontId="30" fillId="10" borderId="47" xfId="0" applyNumberFormat="1" applyFont="1" applyFill="1" applyBorder="1" applyAlignment="1">
      <alignment vertical="center"/>
    </xf>
    <xf numFmtId="169" fontId="38" fillId="10" borderId="0" xfId="0" applyNumberFormat="1" applyFont="1" applyFill="1" applyBorder="1" applyAlignment="1">
      <alignment vertical="center"/>
    </xf>
    <xf numFmtId="0" fontId="34" fillId="10" borderId="0" xfId="0" applyFont="1" applyFill="1" applyAlignment="1">
      <alignment vertical="center"/>
    </xf>
    <xf numFmtId="0" fontId="33" fillId="2" borderId="0" xfId="0" applyFont="1" applyFill="1" applyBorder="1" applyAlignment="1">
      <alignment horizontal="left" vertical="center" indent="1"/>
    </xf>
    <xf numFmtId="169" fontId="33" fillId="2" borderId="0" xfId="0" applyNumberFormat="1" applyFont="1" applyFill="1" applyBorder="1" applyAlignment="1">
      <alignment vertical="center"/>
    </xf>
    <xf numFmtId="0" fontId="54" fillId="2" borderId="0" xfId="0" applyFont="1" applyFill="1" applyBorder="1" applyAlignment="1">
      <alignment horizontal="left" vertical="center" indent="1"/>
    </xf>
    <xf numFmtId="169" fontId="54" fillId="2" borderId="0" xfId="0" applyNumberFormat="1" applyFont="1" applyFill="1" applyBorder="1" applyAlignment="1">
      <alignment vertical="center"/>
    </xf>
    <xf numFmtId="178" fontId="34" fillId="10" borderId="0" xfId="0" applyNumberFormat="1" applyFont="1" applyFill="1" applyBorder="1"/>
    <xf numFmtId="178" fontId="26" fillId="3" borderId="4" xfId="0" applyNumberFormat="1" applyFont="1" applyFill="1" applyBorder="1" applyAlignment="1" applyProtection="1">
      <alignment horizontal="center" vertical="center" wrapText="1"/>
      <protection locked="0"/>
    </xf>
    <xf numFmtId="178" fontId="26" fillId="3" borderId="7" xfId="0" applyNumberFormat="1" applyFont="1" applyFill="1" applyBorder="1" applyAlignment="1" applyProtection="1">
      <alignment horizontal="center" vertical="center" wrapText="1"/>
      <protection locked="0"/>
    </xf>
    <xf numFmtId="178" fontId="26" fillId="3" borderId="33" xfId="0" applyNumberFormat="1" applyFont="1" applyFill="1" applyBorder="1" applyAlignment="1" applyProtection="1">
      <alignment horizontal="center" vertical="center" wrapText="1"/>
      <protection locked="0"/>
    </xf>
    <xf numFmtId="178" fontId="26" fillId="10" borderId="3" xfId="0" applyNumberFormat="1" applyFont="1" applyFill="1" applyBorder="1" applyAlignment="1">
      <alignment horizontal="center" vertical="center"/>
    </xf>
    <xf numFmtId="178" fontId="26" fillId="10" borderId="22" xfId="0" applyNumberFormat="1" applyFont="1" applyFill="1" applyBorder="1" applyAlignment="1">
      <alignment horizontal="center" vertical="center"/>
    </xf>
    <xf numFmtId="178" fontId="26" fillId="10" borderId="16" xfId="0" applyNumberFormat="1" applyFont="1" applyFill="1" applyBorder="1" applyAlignment="1">
      <alignment horizontal="center" vertical="center" wrapText="1"/>
    </xf>
    <xf numFmtId="178" fontId="26" fillId="3" borderId="16" xfId="0" applyNumberFormat="1" applyFont="1" applyFill="1" applyBorder="1" applyAlignment="1" applyProtection="1">
      <alignment horizontal="center" vertical="center"/>
      <protection locked="0"/>
    </xf>
    <xf numFmtId="178" fontId="26" fillId="3" borderId="34" xfId="0" applyNumberFormat="1" applyFont="1" applyFill="1" applyBorder="1" applyAlignment="1" applyProtection="1">
      <alignment horizontal="center" vertical="center"/>
      <protection locked="0"/>
    </xf>
    <xf numFmtId="178" fontId="52" fillId="30" borderId="0" xfId="0" applyNumberFormat="1" applyFont="1" applyFill="1" applyBorder="1" applyAlignment="1">
      <alignment horizontal="left" vertical="center"/>
    </xf>
    <xf numFmtId="178" fontId="34" fillId="33" borderId="13" xfId="0" applyNumberFormat="1" applyFont="1" applyFill="1" applyBorder="1" applyAlignment="1">
      <alignment vertical="center" wrapText="1"/>
    </xf>
    <xf numFmtId="178" fontId="34" fillId="10" borderId="0" xfId="0" applyNumberFormat="1" applyFont="1" applyFill="1" applyBorder="1" applyAlignment="1">
      <alignment vertical="center"/>
    </xf>
    <xf numFmtId="178" fontId="35" fillId="3" borderId="0" xfId="2" applyNumberFormat="1" applyFont="1" applyFill="1" applyBorder="1" applyAlignment="1">
      <alignment vertical="center"/>
    </xf>
    <xf numFmtId="178" fontId="35" fillId="3" borderId="35" xfId="2" applyNumberFormat="1" applyFont="1" applyFill="1" applyBorder="1" applyAlignment="1">
      <alignment vertical="center"/>
    </xf>
    <xf numFmtId="178" fontId="34" fillId="34" borderId="0" xfId="0" applyNumberFormat="1" applyFont="1" applyFill="1" applyBorder="1" applyAlignment="1">
      <alignment vertical="center" wrapText="1"/>
    </xf>
    <xf numFmtId="178" fontId="34" fillId="35" borderId="0" xfId="0" applyNumberFormat="1" applyFont="1" applyFill="1" applyBorder="1" applyAlignment="1">
      <alignment vertical="center" wrapText="1"/>
    </xf>
    <xf numFmtId="178" fontId="52" fillId="30" borderId="28" xfId="0" applyNumberFormat="1" applyFont="1" applyFill="1" applyBorder="1" applyAlignment="1">
      <alignment horizontal="left" vertical="center"/>
    </xf>
    <xf numFmtId="178" fontId="34" fillId="36" borderId="28" xfId="0" applyNumberFormat="1" applyFont="1" applyFill="1" applyBorder="1" applyAlignment="1">
      <alignment vertical="center" wrapText="1"/>
    </xf>
    <xf numFmtId="178" fontId="34" fillId="10" borderId="28" xfId="0" applyNumberFormat="1" applyFont="1" applyFill="1" applyBorder="1" applyAlignment="1">
      <alignment vertical="center"/>
    </xf>
    <xf numFmtId="178" fontId="35" fillId="3" borderId="29" xfId="2" applyNumberFormat="1" applyFont="1" applyFill="1" applyBorder="1" applyAlignment="1">
      <alignment vertical="center"/>
    </xf>
    <xf numFmtId="178" fontId="35" fillId="3" borderId="28" xfId="2" applyNumberFormat="1" applyFont="1" applyFill="1" applyBorder="1" applyAlignment="1">
      <alignment vertical="center"/>
    </xf>
    <xf numFmtId="178" fontId="35" fillId="3" borderId="53" xfId="2" applyNumberFormat="1" applyFont="1" applyFill="1" applyBorder="1" applyAlignment="1">
      <alignment vertical="center"/>
    </xf>
    <xf numFmtId="178" fontId="52" fillId="31" borderId="0" xfId="0" applyNumberFormat="1" applyFont="1" applyFill="1" applyBorder="1" applyAlignment="1">
      <alignment horizontal="left" vertical="center"/>
    </xf>
    <xf numFmtId="178" fontId="34" fillId="33" borderId="0" xfId="0" applyNumberFormat="1" applyFont="1" applyFill="1" applyBorder="1" applyAlignment="1">
      <alignment vertical="center" wrapText="1"/>
    </xf>
    <xf numFmtId="178" fontId="52" fillId="31" borderId="55" xfId="0" applyNumberFormat="1" applyFont="1" applyFill="1" applyBorder="1" applyAlignment="1">
      <alignment horizontal="left" vertical="center"/>
    </xf>
    <xf numFmtId="178" fontId="34" fillId="36" borderId="55" xfId="0" applyNumberFormat="1" applyFont="1" applyFill="1" applyBorder="1" applyAlignment="1">
      <alignment vertical="center" wrapText="1"/>
    </xf>
    <xf numFmtId="178" fontId="34" fillId="10" borderId="55" xfId="0" applyNumberFormat="1" applyFont="1" applyFill="1" applyBorder="1" applyAlignment="1">
      <alignment vertical="center"/>
    </xf>
    <xf numFmtId="178" fontId="35" fillId="3" borderId="56" xfId="2" applyNumberFormat="1" applyFont="1" applyFill="1" applyBorder="1" applyAlignment="1">
      <alignment vertical="center"/>
    </xf>
    <xf numFmtId="178" fontId="35" fillId="3" borderId="55" xfId="2" applyNumberFormat="1" applyFont="1" applyFill="1" applyBorder="1" applyAlignment="1">
      <alignment vertical="center"/>
    </xf>
    <xf numFmtId="178" fontId="35" fillId="3" borderId="59" xfId="2" applyNumberFormat="1" applyFont="1" applyFill="1" applyBorder="1" applyAlignment="1">
      <alignment vertical="center"/>
    </xf>
    <xf numFmtId="178" fontId="52" fillId="32" borderId="0" xfId="0" applyNumberFormat="1" applyFont="1" applyFill="1" applyBorder="1" applyAlignment="1">
      <alignment horizontal="left" vertical="center"/>
    </xf>
    <xf numFmtId="178" fontId="36" fillId="10" borderId="0" xfId="0" applyNumberFormat="1" applyFont="1" applyFill="1" applyBorder="1" applyAlignment="1">
      <alignment vertical="center"/>
    </xf>
    <xf numFmtId="178" fontId="34" fillId="10" borderId="36" xfId="0" applyNumberFormat="1" applyFont="1" applyFill="1" applyBorder="1" applyAlignment="1">
      <alignment vertical="center"/>
    </xf>
    <xf numFmtId="178" fontId="35" fillId="3" borderId="37" xfId="2" applyNumberFormat="1" applyFont="1" applyFill="1" applyBorder="1" applyAlignment="1">
      <alignment vertical="center"/>
    </xf>
    <xf numFmtId="178" fontId="35" fillId="3" borderId="36" xfId="2" applyNumberFormat="1" applyFont="1" applyFill="1" applyBorder="1" applyAlignment="1">
      <alignment vertical="center"/>
    </xf>
    <xf numFmtId="178" fontId="35" fillId="3" borderId="38" xfId="2" applyNumberFormat="1" applyFont="1" applyFill="1" applyBorder="1" applyAlignment="1">
      <alignment vertical="center"/>
    </xf>
    <xf numFmtId="178" fontId="34" fillId="10" borderId="0" xfId="0" applyNumberFormat="1" applyFont="1" applyFill="1"/>
    <xf numFmtId="178" fontId="34" fillId="10" borderId="0" xfId="0" applyNumberFormat="1" applyFont="1" applyFill="1" applyBorder="1" applyAlignment="1" applyProtection="1">
      <alignment vertical="center"/>
      <protection locked="0"/>
    </xf>
    <xf numFmtId="178" fontId="34" fillId="10" borderId="0" xfId="0" applyNumberFormat="1" applyFont="1" applyFill="1" applyBorder="1" applyAlignment="1" applyProtection="1">
      <alignment vertical="center"/>
    </xf>
    <xf numFmtId="178" fontId="35" fillId="3" borderId="42" xfId="2" applyNumberFormat="1" applyFont="1" applyFill="1" applyBorder="1" applyAlignment="1">
      <alignment vertical="center"/>
    </xf>
    <xf numFmtId="178" fontId="34" fillId="10" borderId="28" xfId="0" applyNumberFormat="1" applyFont="1" applyFill="1" applyBorder="1" applyAlignment="1" applyProtection="1">
      <alignment vertical="center"/>
      <protection locked="0"/>
    </xf>
    <xf numFmtId="178" fontId="34" fillId="10" borderId="28" xfId="0" applyNumberFormat="1" applyFont="1" applyFill="1" applyBorder="1" applyAlignment="1" applyProtection="1">
      <alignment vertical="center"/>
    </xf>
    <xf numFmtId="178" fontId="35" fillId="3" borderId="52" xfId="2" applyNumberFormat="1" applyFont="1" applyFill="1" applyBorder="1" applyAlignment="1">
      <alignment vertical="center"/>
    </xf>
    <xf numFmtId="178" fontId="34" fillId="10" borderId="55" xfId="0" applyNumberFormat="1" applyFont="1" applyFill="1" applyBorder="1" applyAlignment="1" applyProtection="1">
      <alignment vertical="center"/>
      <protection locked="0"/>
    </xf>
    <xf numFmtId="178" fontId="34" fillId="10" borderId="55" xfId="0" applyNumberFormat="1" applyFont="1" applyFill="1" applyBorder="1" applyAlignment="1" applyProtection="1">
      <alignment vertical="center"/>
    </xf>
    <xf numFmtId="178" fontId="35" fillId="3" borderId="58" xfId="2" applyNumberFormat="1" applyFont="1" applyFill="1" applyBorder="1" applyAlignment="1">
      <alignment vertical="center"/>
    </xf>
    <xf numFmtId="178" fontId="34" fillId="36" borderId="0" xfId="0" applyNumberFormat="1" applyFont="1" applyFill="1" applyBorder="1" applyAlignment="1">
      <alignment vertical="center" wrapText="1"/>
    </xf>
    <xf numFmtId="178" fontId="52" fillId="30" borderId="43" xfId="0" applyNumberFormat="1" applyFont="1" applyFill="1" applyBorder="1" applyAlignment="1">
      <alignment horizontal="left" vertical="center"/>
    </xf>
    <xf numFmtId="178" fontId="34" fillId="36" borderId="43" xfId="0" applyNumberFormat="1" applyFont="1" applyFill="1" applyBorder="1" applyAlignment="1">
      <alignment vertical="center" wrapText="1"/>
    </xf>
    <xf numFmtId="178" fontId="52" fillId="32" borderId="7" xfId="0" applyNumberFormat="1" applyFont="1" applyFill="1" applyBorder="1" applyAlignment="1">
      <alignment horizontal="left" vertical="center"/>
    </xf>
    <xf numFmtId="178" fontId="34" fillId="36" borderId="7" xfId="0" applyNumberFormat="1" applyFont="1" applyFill="1" applyBorder="1" applyAlignment="1">
      <alignment vertical="center" wrapText="1"/>
    </xf>
    <xf numFmtId="167" fontId="34" fillId="0" borderId="0" xfId="79" applyNumberFormat="1" applyFont="1" applyAlignment="1">
      <alignment vertical="center"/>
    </xf>
    <xf numFmtId="2" fontId="34" fillId="0" borderId="0" xfId="0" applyNumberFormat="1" applyFont="1" applyAlignment="1">
      <alignment vertical="center"/>
    </xf>
    <xf numFmtId="169" fontId="34" fillId="0" borderId="0" xfId="0" applyNumberFormat="1" applyFont="1" applyBorder="1" applyProtection="1">
      <protection locked="0"/>
    </xf>
    <xf numFmtId="0" fontId="34" fillId="10" borderId="0" xfId="0" applyFont="1" applyFill="1" applyProtection="1">
      <protection locked="0"/>
    </xf>
    <xf numFmtId="0" fontId="34" fillId="10" borderId="0" xfId="0" applyFont="1" applyFill="1" applyBorder="1" applyProtection="1">
      <protection locked="0"/>
    </xf>
    <xf numFmtId="0" fontId="34" fillId="10" borderId="0" xfId="0" applyFont="1" applyFill="1" applyBorder="1" applyAlignment="1" applyProtection="1">
      <alignment horizontal="center"/>
      <protection locked="0"/>
    </xf>
    <xf numFmtId="178" fontId="26" fillId="10" borderId="0" xfId="0" applyNumberFormat="1" applyFont="1" applyFill="1" applyBorder="1" applyAlignment="1">
      <alignment horizontal="center" vertical="center"/>
    </xf>
    <xf numFmtId="178" fontId="38" fillId="9" borderId="0" xfId="0" applyNumberFormat="1" applyFont="1" applyFill="1" applyBorder="1" applyAlignment="1">
      <alignment horizontal="center" vertical="center"/>
    </xf>
    <xf numFmtId="178" fontId="57" fillId="44" borderId="0" xfId="0" applyNumberFormat="1" applyFont="1" applyFill="1" applyBorder="1" applyAlignment="1">
      <alignment horizontal="left" vertical="center"/>
    </xf>
    <xf numFmtId="178" fontId="37" fillId="45" borderId="0" xfId="0" applyNumberFormat="1" applyFont="1" applyFill="1" applyBorder="1" applyAlignment="1">
      <alignment vertical="center" wrapText="1"/>
    </xf>
    <xf numFmtId="178" fontId="37" fillId="46" borderId="0" xfId="0" applyNumberFormat="1" applyFont="1" applyFill="1" applyBorder="1" applyAlignment="1">
      <alignment vertical="center" wrapText="1"/>
    </xf>
    <xf numFmtId="178" fontId="37" fillId="47" borderId="0" xfId="0" applyNumberFormat="1" applyFont="1" applyFill="1" applyBorder="1" applyAlignment="1">
      <alignment vertical="center" wrapText="1"/>
    </xf>
    <xf numFmtId="178" fontId="37" fillId="48" borderId="0" xfId="0" applyNumberFormat="1" applyFont="1" applyFill="1" applyBorder="1" applyAlignment="1">
      <alignment vertical="center" wrapText="1"/>
    </xf>
    <xf numFmtId="178" fontId="57" fillId="49" borderId="0" xfId="0" applyNumberFormat="1" applyFont="1" applyFill="1" applyBorder="1" applyAlignment="1">
      <alignment horizontal="left" vertical="center"/>
    </xf>
    <xf numFmtId="178" fontId="57" fillId="50" borderId="0" xfId="0" applyNumberFormat="1" applyFont="1" applyFill="1" applyBorder="1" applyAlignment="1">
      <alignment horizontal="left" vertical="center"/>
    </xf>
    <xf numFmtId="0" fontId="26" fillId="10" borderId="0" xfId="0" applyFont="1" applyFill="1" applyBorder="1" applyAlignment="1">
      <alignment vertical="center"/>
    </xf>
    <xf numFmtId="169" fontId="34" fillId="10" borderId="0" xfId="0" applyNumberFormat="1" applyFont="1" applyFill="1" applyBorder="1" applyAlignment="1">
      <alignment horizontal="center"/>
    </xf>
    <xf numFmtId="169" fontId="34" fillId="10" borderId="0" xfId="0" applyNumberFormat="1" applyFont="1" applyFill="1" applyBorder="1" applyProtection="1">
      <protection locked="0"/>
    </xf>
    <xf numFmtId="169" fontId="26" fillId="10" borderId="0" xfId="0" applyNumberFormat="1" applyFont="1" applyFill="1" applyBorder="1" applyAlignment="1">
      <alignment vertical="center"/>
    </xf>
    <xf numFmtId="169" fontId="34" fillId="10" borderId="0" xfId="0" applyNumberFormat="1" applyFont="1" applyFill="1" applyBorder="1"/>
    <xf numFmtId="169" fontId="34" fillId="10" borderId="0" xfId="0" applyNumberFormat="1" applyFont="1" applyFill="1" applyBorder="1" applyAlignment="1" applyProtection="1">
      <alignment vertical="center"/>
      <protection locked="0"/>
    </xf>
    <xf numFmtId="169" fontId="45" fillId="40" borderId="39" xfId="0" applyNumberFormat="1" applyFont="1" applyFill="1" applyBorder="1" applyAlignment="1" applyProtection="1">
      <alignment horizontal="center" vertical="center" wrapText="1"/>
      <protection locked="0"/>
    </xf>
    <xf numFmtId="169" fontId="45" fillId="40" borderId="60" xfId="0" applyNumberFormat="1" applyFont="1" applyFill="1" applyBorder="1" applyAlignment="1" applyProtection="1">
      <alignment horizontal="center" vertical="center" wrapText="1"/>
      <protection locked="0"/>
    </xf>
    <xf numFmtId="178" fontId="38" fillId="9" borderId="39" xfId="0" applyNumberFormat="1" applyFont="1" applyFill="1" applyBorder="1" applyAlignment="1">
      <alignment horizontal="center" vertical="center" wrapText="1"/>
    </xf>
    <xf numFmtId="178" fontId="38" fillId="9" borderId="60" xfId="0" applyNumberFormat="1" applyFont="1" applyFill="1" applyBorder="1" applyAlignment="1">
      <alignment horizontal="center" vertical="center" wrapText="1"/>
    </xf>
    <xf numFmtId="169" fontId="26" fillId="10" borderId="46" xfId="0" applyNumberFormat="1" applyFont="1" applyFill="1" applyBorder="1" applyAlignment="1">
      <alignment horizontal="center" vertical="center" wrapText="1"/>
    </xf>
    <xf numFmtId="169" fontId="26" fillId="10" borderId="48" xfId="0" applyNumberFormat="1" applyFont="1" applyFill="1" applyBorder="1" applyAlignment="1">
      <alignment horizontal="center" vertical="center" wrapText="1"/>
    </xf>
    <xf numFmtId="178" fontId="34" fillId="10" borderId="41" xfId="0" applyNumberFormat="1" applyFont="1" applyFill="1" applyBorder="1" applyAlignment="1" applyProtection="1">
      <alignment vertical="center"/>
      <protection locked="0"/>
    </xf>
    <xf numFmtId="178" fontId="34" fillId="10" borderId="42" xfId="0" applyNumberFormat="1" applyFont="1" applyFill="1" applyBorder="1" applyAlignment="1" applyProtection="1">
      <alignment vertical="center"/>
      <protection locked="0"/>
    </xf>
    <xf numFmtId="178" fontId="34" fillId="10" borderId="54" xfId="0" applyNumberFormat="1" applyFont="1" applyFill="1" applyBorder="1" applyAlignment="1" applyProtection="1">
      <alignment vertical="center"/>
      <protection locked="0"/>
    </xf>
    <xf numFmtId="178" fontId="34" fillId="10" borderId="52" xfId="0" applyNumberFormat="1" applyFont="1" applyFill="1" applyBorder="1" applyAlignment="1" applyProtection="1">
      <alignment vertical="center"/>
      <protection locked="0"/>
    </xf>
    <xf numFmtId="178" fontId="34" fillId="10" borderId="57" xfId="0" applyNumberFormat="1" applyFont="1" applyFill="1" applyBorder="1" applyAlignment="1" applyProtection="1">
      <alignment vertical="center"/>
      <protection locked="0"/>
    </xf>
    <xf numFmtId="178" fontId="34" fillId="10" borderId="58" xfId="0" applyNumberFormat="1" applyFont="1" applyFill="1" applyBorder="1" applyAlignment="1" applyProtection="1">
      <alignment vertical="center"/>
      <protection locked="0"/>
    </xf>
    <xf numFmtId="178" fontId="34" fillId="10" borderId="49" xfId="0" applyNumberFormat="1" applyFont="1" applyFill="1" applyBorder="1" applyAlignment="1" applyProtection="1">
      <alignment vertical="center"/>
      <protection locked="0"/>
    </xf>
    <xf numFmtId="178" fontId="34" fillId="10" borderId="45" xfId="0" applyNumberFormat="1" applyFont="1" applyFill="1" applyBorder="1" applyAlignment="1" applyProtection="1">
      <alignment vertical="center"/>
      <protection locked="0"/>
    </xf>
    <xf numFmtId="0" fontId="52" fillId="10" borderId="0" xfId="0" applyFont="1" applyFill="1" applyBorder="1"/>
    <xf numFmtId="0" fontId="45" fillId="10" borderId="0" xfId="0" applyFont="1" applyFill="1" applyBorder="1" applyAlignment="1">
      <alignment horizontal="center"/>
    </xf>
    <xf numFmtId="0" fontId="23" fillId="0" borderId="0" xfId="0" applyFont="1" applyFill="1" applyAlignment="1">
      <alignment vertical="center" wrapText="1"/>
    </xf>
    <xf numFmtId="10" fontId="34" fillId="0" borderId="0" xfId="79" applyNumberFormat="1" applyFont="1" applyFill="1" applyAlignment="1">
      <alignment vertical="center"/>
    </xf>
    <xf numFmtId="174" fontId="29" fillId="10" borderId="0" xfId="0" applyNumberFormat="1" applyFont="1" applyFill="1" applyBorder="1" applyAlignment="1">
      <alignment vertical="center"/>
    </xf>
    <xf numFmtId="167" fontId="34" fillId="0" borderId="0" xfId="79" applyNumberFormat="1" applyFont="1" applyFill="1" applyAlignment="1">
      <alignment vertical="center" wrapText="1"/>
    </xf>
    <xf numFmtId="0" fontId="36" fillId="10" borderId="0" xfId="0" applyFont="1" applyFill="1"/>
    <xf numFmtId="0" fontId="37" fillId="10" borderId="0" xfId="0" applyFont="1" applyFill="1"/>
    <xf numFmtId="0" fontId="47" fillId="10" borderId="0" xfId="750" applyFont="1" applyFill="1"/>
    <xf numFmtId="0" fontId="47" fillId="10" borderId="0" xfId="750" quotePrefix="1" applyFont="1" applyFill="1"/>
    <xf numFmtId="0" fontId="26" fillId="10" borderId="0" xfId="0" applyFont="1" applyFill="1"/>
    <xf numFmtId="0" fontId="47" fillId="10" borderId="0" xfId="750" quotePrefix="1" applyFont="1" applyFill="1" applyAlignment="1">
      <alignment horizontal="left" indent="1"/>
    </xf>
    <xf numFmtId="178" fontId="45" fillId="41" borderId="0" xfId="0" applyNumberFormat="1" applyFont="1" applyFill="1" applyBorder="1" applyAlignment="1">
      <alignment horizontal="center" vertical="center" wrapText="1"/>
    </xf>
    <xf numFmtId="178" fontId="45" fillId="0" borderId="0" xfId="0" applyNumberFormat="1" applyFont="1" applyFill="1" applyBorder="1" applyAlignment="1">
      <alignment horizontal="center" vertical="center" wrapText="1"/>
    </xf>
    <xf numFmtId="0" fontId="34" fillId="0" borderId="0" xfId="747" applyFont="1" applyFill="1" applyBorder="1"/>
    <xf numFmtId="178" fontId="26" fillId="38" borderId="0" xfId="0" applyNumberFormat="1" applyFont="1" applyFill="1" applyBorder="1" applyAlignment="1">
      <alignment horizontal="center" vertical="center" wrapText="1"/>
    </xf>
    <xf numFmtId="178" fontId="45" fillId="40" borderId="0" xfId="0" applyNumberFormat="1" applyFont="1" applyFill="1" applyBorder="1" applyAlignment="1">
      <alignment horizontal="center" vertical="center" wrapText="1"/>
    </xf>
    <xf numFmtId="178" fontId="26" fillId="10" borderId="0" xfId="0" applyNumberFormat="1" applyFont="1" applyFill="1" applyBorder="1" applyAlignment="1">
      <alignment horizontal="center" vertical="center" wrapText="1"/>
    </xf>
    <xf numFmtId="178" fontId="26" fillId="37" borderId="0" xfId="0" applyNumberFormat="1" applyFont="1" applyFill="1" applyBorder="1" applyAlignment="1">
      <alignment horizontal="center" vertical="center" wrapText="1"/>
    </xf>
    <xf numFmtId="178" fontId="26" fillId="0" borderId="0" xfId="0" applyNumberFormat="1" applyFont="1" applyFill="1" applyBorder="1" applyAlignment="1">
      <alignment horizontal="center" vertical="center" wrapText="1"/>
    </xf>
    <xf numFmtId="178" fontId="26" fillId="39" borderId="0" xfId="0" applyNumberFormat="1" applyFont="1" applyFill="1" applyBorder="1" applyAlignment="1">
      <alignment horizontal="center" vertical="center" wrapText="1"/>
    </xf>
    <xf numFmtId="178" fontId="26" fillId="0" borderId="0" xfId="0" applyNumberFormat="1" applyFont="1" applyFill="1" applyBorder="1" applyAlignment="1">
      <alignment vertical="center" wrapText="1"/>
    </xf>
    <xf numFmtId="178" fontId="45" fillId="0" borderId="0" xfId="0" applyNumberFormat="1" applyFont="1" applyFill="1" applyBorder="1" applyAlignment="1">
      <alignment vertical="center" wrapText="1"/>
    </xf>
    <xf numFmtId="0" fontId="52" fillId="56" borderId="0" xfId="747" applyFont="1" applyFill="1"/>
    <xf numFmtId="0" fontId="59" fillId="56" borderId="0" xfId="0" applyFont="1" applyFill="1"/>
    <xf numFmtId="0" fontId="60" fillId="56" borderId="0" xfId="747" applyFont="1" applyFill="1"/>
    <xf numFmtId="0" fontId="34" fillId="10" borderId="0" xfId="747" applyFont="1" applyFill="1"/>
    <xf numFmtId="0" fontId="26" fillId="10" borderId="0" xfId="747" applyFont="1" applyFill="1" applyAlignment="1">
      <alignment horizontal="center" wrapText="1"/>
    </xf>
    <xf numFmtId="0" fontId="0" fillId="10" borderId="0" xfId="0" applyFill="1"/>
    <xf numFmtId="0" fontId="34" fillId="10" borderId="39" xfId="747" applyFont="1" applyFill="1" applyBorder="1" applyAlignment="1">
      <alignment horizontal="center" wrapText="1"/>
    </xf>
    <xf numFmtId="0" fontId="34" fillId="10" borderId="60" xfId="747" applyFont="1" applyFill="1" applyBorder="1" applyAlignment="1">
      <alignment horizontal="center" wrapText="1"/>
    </xf>
    <xf numFmtId="0" fontId="34" fillId="10" borderId="41" xfId="747" applyFont="1" applyFill="1" applyBorder="1"/>
    <xf numFmtId="0" fontId="34" fillId="10" borderId="42" xfId="747" applyFont="1" applyFill="1" applyBorder="1"/>
    <xf numFmtId="169" fontId="44" fillId="11" borderId="9" xfId="80" applyNumberFormat="1" applyFont="1" applyFill="1"/>
    <xf numFmtId="9" fontId="34" fillId="10" borderId="0" xfId="748" applyFont="1" applyFill="1"/>
    <xf numFmtId="169" fontId="34" fillId="10" borderId="41" xfId="747" applyNumberFormat="1" applyFont="1" applyFill="1" applyBorder="1"/>
    <xf numFmtId="169" fontId="34" fillId="10" borderId="42" xfId="747" applyNumberFormat="1" applyFont="1" applyFill="1" applyBorder="1"/>
    <xf numFmtId="169" fontId="44" fillId="10" borderId="9" xfId="80" applyNumberFormat="1" applyFont="1" applyFill="1"/>
    <xf numFmtId="0" fontId="34" fillId="10" borderId="0" xfId="747" applyFont="1" applyFill="1" applyBorder="1"/>
    <xf numFmtId="178" fontId="45" fillId="10" borderId="0" xfId="0" applyNumberFormat="1" applyFont="1" applyFill="1" applyBorder="1" applyAlignment="1">
      <alignment horizontal="center" vertical="center" wrapText="1"/>
    </xf>
    <xf numFmtId="0" fontId="36" fillId="10" borderId="0" xfId="747" applyFont="1" applyFill="1"/>
    <xf numFmtId="165" fontId="34" fillId="10" borderId="0" xfId="748" applyNumberFormat="1" applyFont="1" applyFill="1"/>
    <xf numFmtId="169" fontId="44" fillId="12" borderId="25" xfId="747" applyNumberFormat="1" applyFont="1" applyFill="1" applyBorder="1"/>
    <xf numFmtId="169" fontId="34" fillId="10" borderId="49" xfId="747" applyNumberFormat="1" applyFont="1" applyFill="1" applyBorder="1"/>
    <xf numFmtId="169" fontId="34" fillId="10" borderId="45" xfId="747" applyNumberFormat="1" applyFont="1" applyFill="1" applyBorder="1"/>
    <xf numFmtId="0" fontId="26" fillId="10" borderId="0" xfId="747" applyFont="1" applyFill="1"/>
    <xf numFmtId="9" fontId="37" fillId="10" borderId="0" xfId="747" applyNumberFormat="1" applyFont="1" applyFill="1"/>
    <xf numFmtId="2" fontId="34" fillId="10" borderId="0" xfId="747" applyNumberFormat="1" applyFont="1" applyFill="1"/>
    <xf numFmtId="11" fontId="34" fillId="10" borderId="0" xfId="747" applyNumberFormat="1" applyFont="1" applyFill="1"/>
    <xf numFmtId="0" fontId="37" fillId="10" borderId="0" xfId="747" applyFont="1" applyFill="1"/>
    <xf numFmtId="0" fontId="44" fillId="10" borderId="9" xfId="80" applyFont="1" applyFill="1"/>
    <xf numFmtId="178" fontId="26" fillId="10" borderId="30" xfId="0" applyNumberFormat="1" applyFont="1" applyFill="1" applyBorder="1" applyAlignment="1">
      <alignment horizontal="center" vertical="center" wrapText="1"/>
    </xf>
    <xf numFmtId="0" fontId="26" fillId="10" borderId="46" xfId="747" applyFont="1" applyFill="1" applyBorder="1" applyAlignment="1">
      <alignment horizontal="center" vertical="center" wrapText="1"/>
    </xf>
    <xf numFmtId="0" fontId="26" fillId="10" borderId="47" xfId="747" applyFont="1" applyFill="1" applyBorder="1" applyAlignment="1">
      <alignment horizontal="center" vertical="center" wrapText="1"/>
    </xf>
    <xf numFmtId="178" fontId="34" fillId="33" borderId="47" xfId="0" applyNumberFormat="1" applyFont="1" applyFill="1" applyBorder="1" applyAlignment="1">
      <alignment horizontal="center" vertical="center" wrapText="1"/>
    </xf>
    <xf numFmtId="178" fontId="34" fillId="34" borderId="47" xfId="0" applyNumberFormat="1" applyFont="1" applyFill="1" applyBorder="1" applyAlignment="1">
      <alignment horizontal="center" vertical="center" wrapText="1"/>
    </xf>
    <xf numFmtId="178" fontId="34" fillId="35" borderId="47" xfId="0" applyNumberFormat="1" applyFont="1" applyFill="1" applyBorder="1" applyAlignment="1">
      <alignment horizontal="center" vertical="center" wrapText="1"/>
    </xf>
    <xf numFmtId="178" fontId="34" fillId="36" borderId="47" xfId="0" applyNumberFormat="1" applyFont="1" applyFill="1" applyBorder="1" applyAlignment="1">
      <alignment horizontal="center" vertical="center" wrapText="1"/>
    </xf>
    <xf numFmtId="0" fontId="34" fillId="0" borderId="47" xfId="747" applyFont="1" applyBorder="1" applyAlignment="1">
      <alignment horizontal="center" vertical="center" wrapText="1"/>
    </xf>
    <xf numFmtId="178" fontId="52" fillId="30" borderId="47" xfId="0" applyNumberFormat="1" applyFont="1" applyFill="1" applyBorder="1" applyAlignment="1">
      <alignment horizontal="center" vertical="center" wrapText="1"/>
    </xf>
    <xf numFmtId="178" fontId="52" fillId="32" borderId="47" xfId="0" applyNumberFormat="1" applyFont="1" applyFill="1" applyBorder="1" applyAlignment="1">
      <alignment horizontal="center" vertical="center"/>
    </xf>
    <xf numFmtId="0" fontId="26" fillId="10" borderId="48" xfId="747" applyFont="1" applyFill="1" applyBorder="1" applyAlignment="1">
      <alignment horizontal="center" vertical="center" wrapText="1"/>
    </xf>
    <xf numFmtId="0" fontId="26" fillId="10" borderId="40" xfId="747" applyFont="1" applyFill="1" applyBorder="1" applyAlignment="1">
      <alignment horizontal="center" wrapText="1"/>
    </xf>
    <xf numFmtId="169" fontId="26" fillId="10" borderId="40" xfId="747" applyNumberFormat="1" applyFont="1" applyFill="1" applyBorder="1" applyAlignment="1">
      <alignment horizontal="center" wrapText="1"/>
    </xf>
    <xf numFmtId="0" fontId="34" fillId="10" borderId="40" xfId="747" applyFont="1" applyFill="1" applyBorder="1" applyAlignment="1">
      <alignment horizontal="center" wrapText="1"/>
    </xf>
    <xf numFmtId="0" fontId="26" fillId="10" borderId="43" xfId="747" applyFont="1" applyFill="1" applyBorder="1" applyAlignment="1">
      <alignment horizontal="center" wrapText="1"/>
    </xf>
    <xf numFmtId="169" fontId="26" fillId="10" borderId="43" xfId="747" applyNumberFormat="1" applyFont="1" applyFill="1" applyBorder="1" applyAlignment="1">
      <alignment horizontal="center" wrapText="1"/>
    </xf>
    <xf numFmtId="0" fontId="34" fillId="10" borderId="49" xfId="747" applyFont="1" applyFill="1" applyBorder="1" applyAlignment="1">
      <alignment horizontal="center" wrapText="1"/>
    </xf>
    <xf numFmtId="0" fontId="34" fillId="10" borderId="45" xfId="747" applyFont="1" applyFill="1" applyBorder="1" applyAlignment="1">
      <alignment horizontal="center" wrapText="1"/>
    </xf>
    <xf numFmtId="0" fontId="26" fillId="10" borderId="62" xfId="747" applyFont="1" applyFill="1" applyBorder="1" applyAlignment="1">
      <alignment horizontal="center" vertical="center" wrapText="1"/>
    </xf>
    <xf numFmtId="169" fontId="26" fillId="10" borderId="63" xfId="747" applyNumberFormat="1" applyFont="1" applyFill="1" applyBorder="1" applyAlignment="1">
      <alignment horizontal="center" wrapText="1"/>
    </xf>
    <xf numFmtId="169" fontId="26" fillId="10" borderId="64" xfId="747" applyNumberFormat="1" applyFont="1" applyFill="1" applyBorder="1" applyAlignment="1">
      <alignment horizontal="center" wrapText="1"/>
    </xf>
    <xf numFmtId="0" fontId="34" fillId="10" borderId="65" xfId="747" applyFont="1" applyFill="1" applyBorder="1"/>
    <xf numFmtId="169" fontId="44" fillId="10" borderId="66" xfId="80" applyNumberFormat="1" applyFont="1" applyFill="1" applyBorder="1"/>
    <xf numFmtId="169" fontId="44" fillId="11" borderId="66" xfId="80" applyNumberFormat="1" applyFont="1" applyFill="1" applyBorder="1"/>
    <xf numFmtId="9" fontId="34" fillId="10" borderId="0" xfId="748" applyNumberFormat="1" applyFont="1" applyFill="1"/>
    <xf numFmtId="9" fontId="26" fillId="10" borderId="43" xfId="79" applyFont="1" applyFill="1" applyBorder="1" applyAlignment="1">
      <alignment horizontal="center" wrapText="1"/>
    </xf>
    <xf numFmtId="1" fontId="44" fillId="10" borderId="9" xfId="80" applyNumberFormat="1" applyFont="1" applyFill="1"/>
    <xf numFmtId="169" fontId="34" fillId="10" borderId="0" xfId="747" applyNumberFormat="1" applyFont="1" applyFill="1"/>
    <xf numFmtId="9" fontId="34" fillId="10" borderId="0" xfId="79" applyFont="1" applyFill="1"/>
    <xf numFmtId="0" fontId="61" fillId="29" borderId="0" xfId="747" applyFont="1" applyFill="1"/>
    <xf numFmtId="0" fontId="34" fillId="29" borderId="0" xfId="747" applyFont="1" applyFill="1"/>
    <xf numFmtId="0" fontId="4" fillId="29" borderId="0" xfId="0" applyFont="1" applyFill="1"/>
    <xf numFmtId="0" fontId="61" fillId="59" borderId="0" xfId="747" applyFont="1" applyFill="1"/>
    <xf numFmtId="0" fontId="34" fillId="59" borderId="0" xfId="747" applyFont="1" applyFill="1"/>
    <xf numFmtId="0" fontId="4" fillId="59" borderId="0" xfId="0" applyFont="1" applyFill="1"/>
    <xf numFmtId="0" fontId="60" fillId="27" borderId="0" xfId="747" applyFont="1" applyFill="1"/>
    <xf numFmtId="0" fontId="52" fillId="27" borderId="0" xfId="747" applyFont="1" applyFill="1"/>
    <xf numFmtId="0" fontId="59" fillId="27" borderId="0" xfId="0" applyFont="1" applyFill="1"/>
    <xf numFmtId="0" fontId="60" fillId="52" borderId="0" xfId="747" applyFont="1" applyFill="1"/>
    <xf numFmtId="0" fontId="52" fillId="52" borderId="0" xfId="747" applyFont="1" applyFill="1"/>
    <xf numFmtId="0" fontId="59" fillId="52" borderId="0" xfId="0" applyFont="1" applyFill="1"/>
    <xf numFmtId="0" fontId="52" fillId="25" borderId="0" xfId="747" applyFont="1" applyFill="1"/>
    <xf numFmtId="9" fontId="34" fillId="10" borderId="12" xfId="748" applyFont="1" applyFill="1" applyBorder="1"/>
    <xf numFmtId="9" fontId="34" fillId="10" borderId="0" xfId="748" applyFont="1" applyFill="1" applyBorder="1"/>
    <xf numFmtId="0" fontId="34" fillId="10" borderId="12" xfId="747" applyFont="1" applyFill="1" applyBorder="1"/>
    <xf numFmtId="169" fontId="44" fillId="10" borderId="9" xfId="748" applyNumberFormat="1" applyFont="1" applyFill="1" applyBorder="1"/>
    <xf numFmtId="169" fontId="34" fillId="10" borderId="0" xfId="748" applyNumberFormat="1" applyFont="1" applyFill="1"/>
    <xf numFmtId="9" fontId="40" fillId="10" borderId="10" xfId="81" applyNumberFormat="1" applyFont="1" applyFill="1"/>
    <xf numFmtId="169" fontId="44" fillId="10" borderId="0" xfId="748" applyNumberFormat="1" applyFont="1" applyFill="1" applyBorder="1"/>
    <xf numFmtId="169" fontId="44" fillId="10" borderId="0" xfId="80" applyNumberFormat="1" applyFont="1" applyFill="1" applyBorder="1"/>
    <xf numFmtId="9" fontId="40" fillId="10" borderId="0" xfId="81" applyNumberFormat="1" applyFont="1" applyFill="1" applyBorder="1"/>
    <xf numFmtId="0" fontId="60" fillId="24" borderId="0" xfId="747" applyFont="1" applyFill="1"/>
    <xf numFmtId="0" fontId="52" fillId="24" borderId="0" xfId="747" applyFont="1" applyFill="1"/>
    <xf numFmtId="0" fontId="59" fillId="24" borderId="0" xfId="0" applyFont="1" applyFill="1"/>
    <xf numFmtId="9" fontId="34" fillId="10" borderId="0" xfId="747" applyNumberFormat="1" applyFont="1" applyFill="1"/>
    <xf numFmtId="0" fontId="60" fillId="60" borderId="0" xfId="747" applyFont="1" applyFill="1"/>
    <xf numFmtId="0" fontId="52" fillId="60" borderId="0" xfId="747" applyFont="1" applyFill="1"/>
    <xf numFmtId="0" fontId="59" fillId="60" borderId="0" xfId="0" applyFont="1" applyFill="1"/>
    <xf numFmtId="0" fontId="61" fillId="53" borderId="0" xfId="747" applyFont="1" applyFill="1"/>
    <xf numFmtId="0" fontId="34" fillId="53" borderId="0" xfId="747" applyFont="1" applyFill="1"/>
    <xf numFmtId="0" fontId="4" fillId="53" borderId="0" xfId="0" applyFont="1" applyFill="1"/>
    <xf numFmtId="164" fontId="34" fillId="10" borderId="0" xfId="747" applyNumberFormat="1" applyFont="1" applyFill="1"/>
    <xf numFmtId="9" fontId="37" fillId="10" borderId="0" xfId="748" applyFont="1" applyFill="1"/>
    <xf numFmtId="169" fontId="36" fillId="10" borderId="0" xfId="747" applyNumberFormat="1" applyFont="1" applyFill="1"/>
    <xf numFmtId="0" fontId="60" fillId="21" borderId="0" xfId="747" applyFont="1" applyFill="1"/>
    <xf numFmtId="0" fontId="52" fillId="21" borderId="0" xfId="747" applyFont="1" applyFill="1"/>
    <xf numFmtId="0" fontId="59" fillId="21" borderId="0" xfId="0" applyFont="1" applyFill="1"/>
    <xf numFmtId="169" fontId="62" fillId="10" borderId="9" xfId="80" applyNumberFormat="1" applyFont="1" applyFill="1"/>
    <xf numFmtId="175" fontId="34" fillId="10" borderId="0" xfId="748" applyNumberFormat="1" applyFont="1" applyFill="1"/>
    <xf numFmtId="176" fontId="34" fillId="10" borderId="0" xfId="748" applyNumberFormat="1" applyFont="1" applyFill="1"/>
    <xf numFmtId="169" fontId="62" fillId="10" borderId="0" xfId="80" applyNumberFormat="1" applyFont="1" applyFill="1" applyBorder="1"/>
    <xf numFmtId="9" fontId="34" fillId="10" borderId="0" xfId="747" applyNumberFormat="1" applyFont="1" applyFill="1" applyBorder="1"/>
    <xf numFmtId="0" fontId="60" fillId="61" borderId="0" xfId="747" applyFont="1" applyFill="1"/>
    <xf numFmtId="0" fontId="52" fillId="61" borderId="0" xfId="747" applyFont="1" applyFill="1"/>
    <xf numFmtId="0" fontId="59" fillId="61" borderId="0" xfId="0" applyFont="1" applyFill="1"/>
    <xf numFmtId="167" fontId="34" fillId="10" borderId="0" xfId="748" applyNumberFormat="1" applyFont="1" applyFill="1"/>
    <xf numFmtId="0" fontId="60" fillId="62" borderId="0" xfId="747" applyFont="1" applyFill="1"/>
    <xf numFmtId="0" fontId="52" fillId="62" borderId="0" xfId="747" applyFont="1" applyFill="1"/>
    <xf numFmtId="0" fontId="59" fillId="62" borderId="0" xfId="0" applyFont="1" applyFill="1"/>
    <xf numFmtId="169" fontId="42" fillId="10" borderId="0" xfId="747" applyNumberFormat="1" applyFont="1" applyFill="1"/>
    <xf numFmtId="0" fontId="42" fillId="10" borderId="0" xfId="747" applyFont="1" applyFill="1"/>
    <xf numFmtId="0" fontId="34" fillId="10" borderId="0" xfId="747" applyFont="1" applyFill="1" applyAlignment="1">
      <alignment horizontal="left" indent="1"/>
    </xf>
    <xf numFmtId="169" fontId="46" fillId="10" borderId="9" xfId="80" applyNumberFormat="1" applyFont="1" applyFill="1"/>
    <xf numFmtId="173" fontId="34" fillId="10" borderId="0" xfId="747" applyNumberFormat="1" applyFont="1" applyFill="1"/>
    <xf numFmtId="0" fontId="60" fillId="19" borderId="0" xfId="747" applyFont="1" applyFill="1"/>
    <xf numFmtId="0" fontId="52" fillId="19" borderId="0" xfId="747" applyFont="1" applyFill="1"/>
    <xf numFmtId="0" fontId="59" fillId="19" borderId="0" xfId="0" applyFont="1" applyFill="1"/>
    <xf numFmtId="11" fontId="34" fillId="10" borderId="24" xfId="749" applyNumberFormat="1" applyFont="1" applyFill="1"/>
    <xf numFmtId="1" fontId="34" fillId="10" borderId="0" xfId="747" applyNumberFormat="1" applyFont="1" applyFill="1"/>
    <xf numFmtId="10" fontId="34" fillId="10" borderId="0" xfId="748" applyNumberFormat="1" applyFont="1" applyFill="1"/>
    <xf numFmtId="9" fontId="40" fillId="10" borderId="10" xfId="748" applyFont="1" applyFill="1" applyBorder="1"/>
    <xf numFmtId="9" fontId="40" fillId="10" borderId="10" xfId="748" applyNumberFormat="1" applyFont="1" applyFill="1" applyBorder="1"/>
    <xf numFmtId="10" fontId="40" fillId="10" borderId="10" xfId="748" applyNumberFormat="1" applyFont="1" applyFill="1" applyBorder="1"/>
    <xf numFmtId="165" fontId="40" fillId="10" borderId="10" xfId="748" applyNumberFormat="1" applyFont="1" applyFill="1" applyBorder="1"/>
    <xf numFmtId="167" fontId="40" fillId="10" borderId="10" xfId="748" applyNumberFormat="1" applyFont="1" applyFill="1" applyBorder="1"/>
    <xf numFmtId="0" fontId="60" fillId="55" borderId="0" xfId="747" applyFont="1" applyFill="1"/>
    <xf numFmtId="0" fontId="52" fillId="55" borderId="0" xfId="747" applyFont="1" applyFill="1"/>
    <xf numFmtId="0" fontId="59" fillId="55" borderId="0" xfId="0" applyFont="1" applyFill="1"/>
    <xf numFmtId="11" fontId="34" fillId="10" borderId="0" xfId="749" applyNumberFormat="1" applyFont="1" applyFill="1" applyBorder="1"/>
    <xf numFmtId="0" fontId="60" fillId="17" borderId="0" xfId="747" applyFont="1" applyFill="1"/>
    <xf numFmtId="0" fontId="52" fillId="17" borderId="0" xfId="747" applyFont="1" applyFill="1"/>
    <xf numFmtId="0" fontId="59" fillId="17" borderId="0" xfId="0" applyFont="1" applyFill="1"/>
    <xf numFmtId="0" fontId="60" fillId="63" borderId="0" xfId="747" applyFont="1" applyFill="1"/>
    <xf numFmtId="0" fontId="52" fillId="63" borderId="0" xfId="747" applyFont="1" applyFill="1"/>
    <xf numFmtId="0" fontId="59" fillId="63" borderId="0" xfId="0" applyFont="1" applyFill="1"/>
    <xf numFmtId="0" fontId="61" fillId="16" borderId="0" xfId="747" applyFont="1" applyFill="1"/>
    <xf numFmtId="0" fontId="34" fillId="16" borderId="0" xfId="747" applyFont="1" applyFill="1"/>
    <xf numFmtId="0" fontId="4" fillId="16" borderId="0" xfId="0" applyFont="1" applyFill="1"/>
    <xf numFmtId="0" fontId="61" fillId="15" borderId="0" xfId="747" applyFont="1" applyFill="1"/>
    <xf numFmtId="0" fontId="34" fillId="15" borderId="0" xfId="747" applyFont="1" applyFill="1"/>
    <xf numFmtId="0" fontId="4" fillId="15" borderId="0" xfId="0" applyFont="1" applyFill="1"/>
    <xf numFmtId="0" fontId="60" fillId="64" borderId="0" xfId="747" applyFont="1" applyFill="1"/>
    <xf numFmtId="0" fontId="52" fillId="64" borderId="0" xfId="747" applyFont="1" applyFill="1"/>
    <xf numFmtId="0" fontId="59" fillId="64" borderId="0" xfId="0" applyFont="1" applyFill="1"/>
    <xf numFmtId="0" fontId="60" fillId="13" borderId="0" xfId="747" applyFont="1" applyFill="1"/>
    <xf numFmtId="0" fontId="52" fillId="13" borderId="0" xfId="747" applyFont="1" applyFill="1"/>
    <xf numFmtId="0" fontId="59" fillId="13" borderId="0" xfId="0" applyFont="1" applyFill="1"/>
    <xf numFmtId="0" fontId="44" fillId="10" borderId="9" xfId="80" applyNumberFormat="1" applyFont="1" applyFill="1"/>
    <xf numFmtId="0" fontId="60" fillId="16" borderId="0" xfId="747" applyFont="1" applyFill="1"/>
    <xf numFmtId="9" fontId="26" fillId="10" borderId="43" xfId="79" applyNumberFormat="1" applyFont="1" applyFill="1" applyBorder="1" applyAlignment="1">
      <alignment horizontal="center" wrapText="1"/>
    </xf>
    <xf numFmtId="169" fontId="44" fillId="10" borderId="67" xfId="80" applyNumberFormat="1" applyFont="1" applyFill="1" applyBorder="1"/>
    <xf numFmtId="2" fontId="44" fillId="10" borderId="0" xfId="80" applyNumberFormat="1" applyFont="1" applyFill="1" applyBorder="1"/>
    <xf numFmtId="9" fontId="40" fillId="10" borderId="0" xfId="748" applyFont="1" applyFill="1" applyBorder="1"/>
    <xf numFmtId="9" fontId="40" fillId="10" borderId="0" xfId="748" applyNumberFormat="1" applyFont="1" applyFill="1" applyBorder="1"/>
    <xf numFmtId="10" fontId="40" fillId="10" borderId="0" xfId="748" applyNumberFormat="1" applyFont="1" applyFill="1" applyBorder="1"/>
    <xf numFmtId="1" fontId="44" fillId="10" borderId="1" xfId="80" applyNumberFormat="1" applyFont="1" applyFill="1" applyBorder="1"/>
    <xf numFmtId="169" fontId="44" fillId="10" borderId="68" xfId="80" applyNumberFormat="1" applyFont="1" applyFill="1" applyBorder="1"/>
    <xf numFmtId="169" fontId="44" fillId="10" borderId="69" xfId="80" applyNumberFormat="1" applyFont="1" applyFill="1" applyBorder="1"/>
    <xf numFmtId="169" fontId="44" fillId="10" borderId="70" xfId="80" applyNumberFormat="1" applyFont="1" applyFill="1" applyBorder="1"/>
    <xf numFmtId="169" fontId="44" fillId="10" borderId="71" xfId="80" applyNumberFormat="1" applyFont="1" applyFill="1" applyBorder="1"/>
    <xf numFmtId="169" fontId="44" fillId="10" borderId="1" xfId="80" applyNumberFormat="1" applyFont="1" applyFill="1" applyBorder="1"/>
    <xf numFmtId="0" fontId="60" fillId="25" borderId="0" xfId="747" applyFont="1" applyFill="1"/>
    <xf numFmtId="0" fontId="59" fillId="25" borderId="0" xfId="0" applyFont="1" applyFill="1"/>
    <xf numFmtId="9" fontId="26" fillId="10" borderId="4" xfId="79" applyFont="1" applyFill="1" applyBorder="1" applyAlignment="1">
      <alignment horizontal="center" wrapText="1"/>
    </xf>
    <xf numFmtId="9" fontId="26" fillId="10" borderId="7" xfId="79" applyFont="1" applyFill="1" applyBorder="1" applyAlignment="1">
      <alignment horizontal="center" wrapText="1"/>
    </xf>
    <xf numFmtId="169" fontId="44" fillId="10" borderId="72" xfId="80" applyNumberFormat="1" applyFont="1" applyFill="1" applyBorder="1"/>
    <xf numFmtId="9" fontId="26" fillId="10" borderId="44" xfId="79" applyFont="1" applyFill="1" applyBorder="1" applyAlignment="1">
      <alignment horizontal="center" wrapText="1"/>
    </xf>
    <xf numFmtId="0" fontId="34" fillId="56" borderId="0" xfId="747" applyFont="1" applyFill="1"/>
    <xf numFmtId="0" fontId="34" fillId="27" borderId="0" xfId="747" applyFont="1" applyFill="1"/>
    <xf numFmtId="0" fontId="34" fillId="52" borderId="0" xfId="747" applyFont="1" applyFill="1"/>
    <xf numFmtId="0" fontId="34" fillId="25" borderId="0" xfId="747" applyFont="1" applyFill="1"/>
    <xf numFmtId="9" fontId="26" fillId="10" borderId="0" xfId="748" applyFont="1" applyFill="1" applyBorder="1"/>
    <xf numFmtId="0" fontId="34" fillId="24" borderId="0" xfId="747" applyFont="1" applyFill="1"/>
    <xf numFmtId="0" fontId="34" fillId="60" borderId="0" xfId="747" applyFont="1" applyFill="1"/>
    <xf numFmtId="0" fontId="34" fillId="21" borderId="0" xfId="747" applyFont="1" applyFill="1"/>
    <xf numFmtId="0" fontId="34" fillId="61" borderId="0" xfId="747" applyFont="1" applyFill="1"/>
    <xf numFmtId="0" fontId="34" fillId="62" borderId="0" xfId="747" applyFont="1" applyFill="1"/>
    <xf numFmtId="0" fontId="34" fillId="19" borderId="0" xfId="747" applyFont="1" applyFill="1"/>
    <xf numFmtId="0" fontId="34" fillId="55" borderId="0" xfId="747" applyFont="1" applyFill="1"/>
    <xf numFmtId="0" fontId="34" fillId="17" borderId="0" xfId="747" applyFont="1" applyFill="1"/>
    <xf numFmtId="0" fontId="34" fillId="63" borderId="0" xfId="747" applyFont="1" applyFill="1"/>
    <xf numFmtId="0" fontId="34" fillId="64" borderId="0" xfId="747" applyFont="1" applyFill="1"/>
    <xf numFmtId="0" fontId="34" fillId="13" borderId="0" xfId="747" applyFont="1" applyFill="1"/>
    <xf numFmtId="0" fontId="26" fillId="59" borderId="0" xfId="747" applyFont="1" applyFill="1" applyAlignment="1"/>
    <xf numFmtId="0" fontId="26" fillId="29" borderId="0" xfId="747" applyFont="1" applyFill="1" applyAlignment="1"/>
    <xf numFmtId="0" fontId="45" fillId="27" borderId="0" xfId="747" applyFont="1" applyFill="1" applyAlignment="1"/>
    <xf numFmtId="0" fontId="52" fillId="27" borderId="0" xfId="747" applyFont="1" applyFill="1" applyAlignment="1"/>
    <xf numFmtId="178" fontId="26" fillId="10" borderId="7" xfId="0" applyNumberFormat="1" applyFont="1" applyFill="1" applyBorder="1" applyAlignment="1">
      <alignment horizontal="center" vertical="center" wrapText="1"/>
    </xf>
    <xf numFmtId="0" fontId="45" fillId="63" borderId="0" xfId="747" applyFont="1" applyFill="1" applyAlignment="1"/>
    <xf numFmtId="0" fontId="45" fillId="60" borderId="0" xfId="747" applyFont="1" applyFill="1" applyAlignment="1"/>
    <xf numFmtId="1" fontId="34" fillId="10" borderId="0" xfId="0" applyNumberFormat="1" applyFont="1" applyFill="1" applyBorder="1" applyProtection="1">
      <protection locked="0"/>
    </xf>
    <xf numFmtId="179" fontId="34" fillId="0" borderId="0" xfId="747" applyNumberFormat="1" applyFont="1"/>
    <xf numFmtId="169" fontId="34" fillId="0" borderId="0" xfId="747" applyNumberFormat="1" applyFont="1"/>
    <xf numFmtId="2" fontId="34" fillId="0" borderId="0" xfId="0" applyNumberFormat="1" applyFont="1" applyFill="1"/>
    <xf numFmtId="165" fontId="40" fillId="10" borderId="0" xfId="748" applyNumberFormat="1" applyFont="1" applyFill="1" applyBorder="1"/>
    <xf numFmtId="167" fontId="40" fillId="10" borderId="0" xfId="748" applyNumberFormat="1" applyFont="1" applyFill="1" applyBorder="1"/>
    <xf numFmtId="175" fontId="40" fillId="10" borderId="0" xfId="748" applyNumberFormat="1" applyFont="1" applyFill="1" applyBorder="1"/>
    <xf numFmtId="9" fontId="40" fillId="9" borderId="10" xfId="0" applyNumberFormat="1" applyFont="1" applyFill="1" applyBorder="1"/>
    <xf numFmtId="181" fontId="34" fillId="10" borderId="0" xfId="748" applyNumberFormat="1" applyFont="1" applyFill="1"/>
    <xf numFmtId="165" fontId="26" fillId="10" borderId="11" xfId="82" applyNumberFormat="1" applyFont="1" applyFill="1"/>
    <xf numFmtId="175" fontId="26" fillId="10" borderId="61" xfId="748" applyNumberFormat="1" applyFont="1" applyFill="1" applyBorder="1"/>
    <xf numFmtId="175" fontId="34" fillId="10" borderId="0" xfId="747" applyNumberFormat="1" applyFont="1" applyFill="1"/>
    <xf numFmtId="175" fontId="34" fillId="0" borderId="0" xfId="747" applyNumberFormat="1" applyFont="1"/>
    <xf numFmtId="181" fontId="26" fillId="10" borderId="61" xfId="748" applyNumberFormat="1" applyFont="1" applyFill="1" applyBorder="1"/>
    <xf numFmtId="181" fontId="34" fillId="10" borderId="0" xfId="747" applyNumberFormat="1" applyFont="1" applyFill="1"/>
    <xf numFmtId="181" fontId="26" fillId="11" borderId="61" xfId="748" applyNumberFormat="1" applyFont="1" applyFill="1" applyBorder="1"/>
    <xf numFmtId="181" fontId="34" fillId="0" borderId="0" xfId="747" applyNumberFormat="1" applyFont="1"/>
    <xf numFmtId="181" fontId="26" fillId="10" borderId="0" xfId="748" applyNumberFormat="1" applyFont="1" applyFill="1" applyBorder="1"/>
    <xf numFmtId="181" fontId="34" fillId="10" borderId="0" xfId="0" applyNumberFormat="1" applyFont="1" applyFill="1"/>
    <xf numFmtId="175" fontId="34" fillId="0" borderId="0" xfId="0" applyNumberFormat="1" applyFont="1"/>
    <xf numFmtId="181" fontId="34" fillId="0" borderId="0" xfId="0" applyNumberFormat="1" applyFont="1"/>
    <xf numFmtId="0" fontId="34" fillId="0" borderId="0" xfId="747" applyFont="1" applyFill="1"/>
    <xf numFmtId="1" fontId="34" fillId="0" borderId="0" xfId="747" applyNumberFormat="1" applyFont="1" applyFill="1"/>
    <xf numFmtId="182" fontId="34" fillId="10" borderId="0" xfId="748" applyNumberFormat="1" applyFont="1" applyFill="1"/>
    <xf numFmtId="165" fontId="40" fillId="9" borderId="10" xfId="0" applyNumberFormat="1" applyFont="1" applyFill="1" applyBorder="1"/>
    <xf numFmtId="165" fontId="34" fillId="10" borderId="12" xfId="748" applyNumberFormat="1" applyFont="1" applyFill="1" applyBorder="1"/>
    <xf numFmtId="9" fontId="34" fillId="10" borderId="12" xfId="748" applyNumberFormat="1" applyFont="1" applyFill="1" applyBorder="1"/>
    <xf numFmtId="165" fontId="34" fillId="10" borderId="0" xfId="748" applyNumberFormat="1" applyFont="1" applyFill="1" applyBorder="1"/>
    <xf numFmtId="9" fontId="34" fillId="10" borderId="0" xfId="748" applyNumberFormat="1" applyFont="1" applyFill="1" applyBorder="1"/>
    <xf numFmtId="0" fontId="3" fillId="65" borderId="73" xfId="0" applyFont="1" applyFill="1" applyBorder="1"/>
    <xf numFmtId="0" fontId="3" fillId="65" borderId="73" xfId="0" pivotButton="1" applyFont="1" applyFill="1" applyBorder="1"/>
    <xf numFmtId="0" fontId="3" fillId="65" borderId="74" xfId="0" applyFont="1" applyFill="1" applyBorder="1" applyAlignment="1">
      <alignment horizontal="left"/>
    </xf>
    <xf numFmtId="0" fontId="3" fillId="65" borderId="74" xfId="0" applyNumberFormat="1" applyFont="1" applyFill="1" applyBorder="1"/>
    <xf numFmtId="0" fontId="3" fillId="65" borderId="0" xfId="0" pivotButton="1" applyFont="1" applyFill="1"/>
    <xf numFmtId="0" fontId="3" fillId="65" borderId="0" xfId="0" applyFont="1" applyFill="1"/>
    <xf numFmtId="0" fontId="3" fillId="66" borderId="0" xfId="0" applyFont="1" applyFill="1"/>
    <xf numFmtId="0" fontId="3" fillId="66" borderId="73" xfId="0" applyFont="1" applyFill="1" applyBorder="1"/>
    <xf numFmtId="0" fontId="0" fillId="66" borderId="0" xfId="0" applyNumberFormat="1" applyFill="1"/>
    <xf numFmtId="0" fontId="63" fillId="67" borderId="0" xfId="0" applyFont="1" applyFill="1"/>
    <xf numFmtId="0" fontId="63" fillId="68" borderId="0" xfId="0" applyFont="1" applyFill="1"/>
    <xf numFmtId="0" fontId="63" fillId="67" borderId="75" xfId="0" applyFont="1" applyFill="1" applyBorder="1"/>
    <xf numFmtId="0" fontId="63" fillId="68" borderId="75" xfId="0" applyFont="1" applyFill="1" applyBorder="1"/>
    <xf numFmtId="0" fontId="64" fillId="0" borderId="0" xfId="0" applyFont="1" applyAlignment="1">
      <alignment horizontal="left"/>
    </xf>
    <xf numFmtId="0" fontId="64" fillId="0" borderId="0" xfId="0" applyFont="1"/>
    <xf numFmtId="0" fontId="64" fillId="68" borderId="0" xfId="0" applyFont="1" applyFill="1"/>
    <xf numFmtId="0" fontId="63" fillId="67" borderId="76" xfId="0" applyFont="1" applyFill="1" applyBorder="1" applyAlignment="1">
      <alignment horizontal="left"/>
    </xf>
    <xf numFmtId="0" fontId="63" fillId="67" borderId="76" xfId="0" applyFont="1" applyFill="1" applyBorder="1"/>
    <xf numFmtId="164" fontId="34" fillId="0" borderId="0" xfId="0" applyNumberFormat="1" applyFont="1" applyAlignment="1">
      <alignment vertical="center"/>
    </xf>
    <xf numFmtId="1" fontId="34" fillId="0" borderId="0" xfId="0" applyNumberFormat="1" applyFont="1" applyAlignment="1">
      <alignment vertical="center"/>
    </xf>
    <xf numFmtId="166" fontId="34" fillId="0" borderId="0" xfId="0" applyNumberFormat="1" applyFont="1" applyAlignment="1">
      <alignment vertical="center"/>
    </xf>
    <xf numFmtId="178" fontId="26" fillId="3" borderId="84" xfId="0" applyNumberFormat="1" applyFont="1" applyFill="1" applyBorder="1" applyAlignment="1" applyProtection="1">
      <alignment horizontal="center" vertical="center" wrapText="1"/>
      <protection locked="0"/>
    </xf>
    <xf numFmtId="178" fontId="26" fillId="3" borderId="16" xfId="0" applyNumberFormat="1" applyFont="1" applyFill="1" applyBorder="1" applyAlignment="1" applyProtection="1">
      <alignment horizontal="center" vertical="center" wrapText="1"/>
      <protection locked="0"/>
    </xf>
    <xf numFmtId="178" fontId="26" fillId="10" borderId="3" xfId="0" applyNumberFormat="1" applyFont="1" applyFill="1" applyBorder="1" applyAlignment="1">
      <alignment horizontal="center" vertical="center" wrapText="1"/>
    </xf>
    <xf numFmtId="178" fontId="34" fillId="10" borderId="26" xfId="0" applyNumberFormat="1" applyFont="1" applyFill="1" applyBorder="1" applyAlignment="1">
      <alignment vertical="center"/>
    </xf>
    <xf numFmtId="178" fontId="34" fillId="10" borderId="12" xfId="0" applyNumberFormat="1" applyFont="1" applyFill="1" applyBorder="1" applyAlignment="1">
      <alignment vertical="center"/>
    </xf>
    <xf numFmtId="178" fontId="34" fillId="10" borderId="56" xfId="0" applyNumberFormat="1" applyFont="1" applyFill="1" applyBorder="1" applyAlignment="1">
      <alignment vertical="center"/>
    </xf>
    <xf numFmtId="178" fontId="34" fillId="10" borderId="29" xfId="0" applyNumberFormat="1" applyFont="1" applyFill="1" applyBorder="1" applyAlignment="1">
      <alignment vertical="center"/>
    </xf>
    <xf numFmtId="178" fontId="34" fillId="10" borderId="37" xfId="0" applyNumberFormat="1" applyFont="1" applyFill="1" applyBorder="1" applyAlignment="1">
      <alignment vertical="center"/>
    </xf>
    <xf numFmtId="178" fontId="34" fillId="10" borderId="26" xfId="0" applyNumberFormat="1" applyFont="1" applyFill="1" applyBorder="1" applyAlignment="1" applyProtection="1">
      <alignment vertical="center"/>
      <protection locked="0"/>
    </xf>
    <xf numFmtId="178" fontId="34" fillId="10" borderId="12" xfId="0" applyNumberFormat="1" applyFont="1" applyFill="1" applyBorder="1" applyAlignment="1" applyProtection="1">
      <alignment vertical="center"/>
      <protection locked="0"/>
    </xf>
    <xf numFmtId="178" fontId="34" fillId="10" borderId="56" xfId="0" applyNumberFormat="1" applyFont="1" applyFill="1" applyBorder="1" applyAlignment="1" applyProtection="1">
      <alignment vertical="center"/>
      <protection locked="0"/>
    </xf>
    <xf numFmtId="178" fontId="34" fillId="10" borderId="29" xfId="0" applyNumberFormat="1" applyFont="1" applyFill="1" applyBorder="1" applyAlignment="1" applyProtection="1">
      <alignment vertical="center"/>
      <protection locked="0"/>
    </xf>
    <xf numFmtId="0" fontId="45" fillId="56" borderId="0" xfId="747" applyFont="1" applyFill="1" applyAlignment="1"/>
    <xf numFmtId="0" fontId="45" fillId="57" borderId="51" xfId="747" applyFont="1" applyFill="1" applyBorder="1" applyAlignment="1"/>
    <xf numFmtId="0" fontId="26" fillId="58" borderId="91" xfId="747" applyFont="1" applyFill="1" applyBorder="1" applyAlignment="1"/>
    <xf numFmtId="0" fontId="45" fillId="52" borderId="0" xfId="747" applyFont="1" applyFill="1" applyAlignment="1"/>
    <xf numFmtId="0" fontId="45" fillId="25" borderId="0" xfId="747" applyFont="1" applyFill="1" applyAlignment="1"/>
    <xf numFmtId="0" fontId="45" fillId="24" borderId="0" xfId="747" applyFont="1" applyFill="1" applyAlignment="1"/>
    <xf numFmtId="0" fontId="26" fillId="53" borderId="0" xfId="747" applyFont="1" applyFill="1" applyAlignment="1"/>
    <xf numFmtId="0" fontId="45" fillId="21" borderId="0" xfId="747" applyFont="1" applyFill="1" applyAlignment="1"/>
    <xf numFmtId="0" fontId="45" fillId="61" borderId="0" xfId="747" applyFont="1" applyFill="1" applyAlignment="1"/>
    <xf numFmtId="0" fontId="45" fillId="62" borderId="0" xfId="747" applyFont="1" applyFill="1" applyAlignment="1"/>
    <xf numFmtId="0" fontId="45" fillId="19" borderId="0" xfId="747" applyFont="1" applyFill="1" applyAlignment="1"/>
    <xf numFmtId="0" fontId="45" fillId="55" borderId="0" xfId="747" applyFont="1" applyFill="1" applyAlignment="1"/>
    <xf numFmtId="0" fontId="45" fillId="17" borderId="0" xfId="747" applyFont="1" applyFill="1" applyAlignment="1"/>
    <xf numFmtId="0" fontId="26" fillId="16" borderId="0" xfId="747" applyFont="1" applyFill="1" applyAlignment="1"/>
    <xf numFmtId="0" fontId="26" fillId="15" borderId="0" xfId="747" applyFont="1" applyFill="1" applyAlignment="1"/>
    <xf numFmtId="0" fontId="45" fillId="64" borderId="0" xfId="747" applyFont="1" applyFill="1" applyAlignment="1"/>
    <xf numFmtId="0" fontId="45" fillId="13" borderId="0" xfId="747" applyFont="1" applyFill="1" applyAlignment="1"/>
    <xf numFmtId="9" fontId="48" fillId="10" borderId="0" xfId="748" applyFont="1" applyFill="1" applyBorder="1"/>
    <xf numFmtId="9" fontId="40" fillId="10" borderId="10" xfId="81" applyNumberFormat="1" applyFont="1" applyFill="1" applyBorder="1"/>
    <xf numFmtId="9" fontId="34" fillId="0" borderId="0" xfId="748" applyFont="1" applyBorder="1"/>
    <xf numFmtId="9" fontId="34" fillId="10" borderId="0" xfId="79" applyFont="1" applyFill="1" applyBorder="1"/>
    <xf numFmtId="178" fontId="52" fillId="31" borderId="92" xfId="0" applyNumberFormat="1" applyFont="1" applyFill="1" applyBorder="1" applyAlignment="1">
      <alignment horizontal="center" vertical="center" wrapText="1"/>
    </xf>
    <xf numFmtId="0" fontId="34" fillId="10" borderId="77" xfId="747" applyFont="1" applyFill="1" applyBorder="1" applyAlignment="1">
      <alignment horizontal="center" wrapText="1"/>
    </xf>
    <xf numFmtId="9" fontId="34" fillId="10" borderId="12" xfId="79" applyFont="1" applyFill="1" applyBorder="1"/>
    <xf numFmtId="9" fontId="40" fillId="10" borderId="93" xfId="81" applyNumberFormat="1" applyFont="1" applyFill="1" applyBorder="1"/>
    <xf numFmtId="9" fontId="40" fillId="10" borderId="12" xfId="81" applyNumberFormat="1" applyFont="1" applyFill="1" applyBorder="1"/>
    <xf numFmtId="9" fontId="34" fillId="10" borderId="12" xfId="747" applyNumberFormat="1" applyFont="1" applyFill="1" applyBorder="1"/>
    <xf numFmtId="0" fontId="34" fillId="10" borderId="12" xfId="0" applyFont="1" applyFill="1" applyBorder="1"/>
    <xf numFmtId="165" fontId="40" fillId="10" borderId="93" xfId="748" applyNumberFormat="1" applyFont="1" applyFill="1" applyBorder="1"/>
    <xf numFmtId="9" fontId="40" fillId="10" borderId="12" xfId="748" applyFont="1" applyFill="1" applyBorder="1"/>
    <xf numFmtId="165" fontId="40" fillId="9" borderId="93" xfId="0" applyNumberFormat="1" applyFont="1" applyFill="1" applyBorder="1"/>
    <xf numFmtId="9" fontId="40" fillId="9" borderId="93" xfId="0" applyNumberFormat="1" applyFont="1" applyFill="1" applyBorder="1"/>
    <xf numFmtId="9" fontId="40" fillId="10" borderId="93" xfId="748" applyFont="1" applyFill="1" applyBorder="1"/>
    <xf numFmtId="10" fontId="40" fillId="10" borderId="12" xfId="748" applyNumberFormat="1" applyFont="1" applyFill="1" applyBorder="1"/>
    <xf numFmtId="169" fontId="44" fillId="10" borderId="94" xfId="80" applyNumberFormat="1" applyFont="1" applyFill="1" applyBorder="1"/>
    <xf numFmtId="181" fontId="34" fillId="0" borderId="0" xfId="747" applyNumberFormat="1" applyFont="1" applyBorder="1"/>
    <xf numFmtId="181" fontId="34" fillId="10" borderId="0" xfId="747" applyNumberFormat="1" applyFont="1" applyFill="1" applyBorder="1"/>
    <xf numFmtId="181" fontId="26" fillId="10" borderId="0" xfId="82" applyNumberFormat="1" applyFont="1" applyFill="1" applyBorder="1"/>
    <xf numFmtId="181" fontId="34" fillId="0" borderId="0" xfId="748" applyNumberFormat="1" applyFont="1" applyBorder="1"/>
    <xf numFmtId="9" fontId="40" fillId="10" borderId="12" xfId="748" applyNumberFormat="1" applyFont="1" applyFill="1" applyBorder="1"/>
    <xf numFmtId="9" fontId="48" fillId="10" borderId="12" xfId="748" applyFont="1" applyFill="1" applyBorder="1"/>
    <xf numFmtId="0" fontId="34" fillId="10" borderId="40" xfId="747" applyFont="1" applyFill="1" applyBorder="1"/>
    <xf numFmtId="0" fontId="39" fillId="10" borderId="0" xfId="0" applyFont="1" applyFill="1"/>
    <xf numFmtId="0" fontId="34" fillId="10" borderId="0" xfId="0" applyFont="1" applyFill="1" applyAlignment="1">
      <alignment horizontal="center" wrapText="1"/>
    </xf>
    <xf numFmtId="165" fontId="34" fillId="10" borderId="0" xfId="79" applyNumberFormat="1" applyFont="1" applyFill="1"/>
    <xf numFmtId="0" fontId="34" fillId="10" borderId="0" xfId="0" quotePrefix="1" applyFont="1" applyFill="1"/>
    <xf numFmtId="0" fontId="39" fillId="10" borderId="0" xfId="0" applyFont="1" applyFill="1" applyAlignment="1">
      <alignment horizontal="center"/>
    </xf>
    <xf numFmtId="0" fontId="34" fillId="10" borderId="21" xfId="0" applyFont="1" applyFill="1" applyBorder="1"/>
    <xf numFmtId="0" fontId="34" fillId="10" borderId="20" xfId="0" applyFont="1" applyFill="1" applyBorder="1"/>
    <xf numFmtId="0" fontId="26" fillId="10" borderId="18" xfId="0" applyFont="1" applyFill="1" applyBorder="1"/>
    <xf numFmtId="0" fontId="34" fillId="10" borderId="0" xfId="0" applyFont="1" applyFill="1" applyAlignment="1">
      <alignment horizontal="right"/>
    </xf>
    <xf numFmtId="0" fontId="34" fillId="10" borderId="0" xfId="0" applyFont="1" applyFill="1" applyAlignment="1">
      <alignment horizontal="left"/>
    </xf>
    <xf numFmtId="0" fontId="34" fillId="10" borderId="0" xfId="0" applyFont="1" applyFill="1" applyAlignment="1">
      <alignment horizontal="left" indent="1"/>
    </xf>
    <xf numFmtId="11" fontId="34" fillId="10" borderId="0" xfId="0" applyNumberFormat="1" applyFont="1" applyFill="1"/>
    <xf numFmtId="167" fontId="34" fillId="10" borderId="0" xfId="79" applyNumberFormat="1" applyFont="1" applyFill="1"/>
    <xf numFmtId="0" fontId="42" fillId="10" borderId="0" xfId="0" applyFont="1" applyFill="1"/>
    <xf numFmtId="0" fontId="39" fillId="10" borderId="0" xfId="0" applyFont="1" applyFill="1" applyAlignment="1">
      <alignment horizontal="center" wrapText="1"/>
    </xf>
    <xf numFmtId="15" fontId="34" fillId="10" borderId="0" xfId="0" applyNumberFormat="1" applyFont="1" applyFill="1"/>
    <xf numFmtId="166" fontId="34" fillId="10" borderId="0" xfId="0" applyNumberFormat="1" applyFont="1" applyFill="1"/>
    <xf numFmtId="1" fontId="34" fillId="10" borderId="0" xfId="0" applyNumberFormat="1" applyFont="1" applyFill="1"/>
    <xf numFmtId="0" fontId="34" fillId="10" borderId="0" xfId="0" applyFont="1" applyFill="1" applyBorder="1" applyAlignment="1">
      <alignment wrapText="1"/>
    </xf>
    <xf numFmtId="11" fontId="34" fillId="10" borderId="0" xfId="0" applyNumberFormat="1" applyFont="1" applyFill="1" applyBorder="1"/>
    <xf numFmtId="11" fontId="26" fillId="10" borderId="0" xfId="0" applyNumberFormat="1" applyFont="1" applyFill="1" applyBorder="1"/>
    <xf numFmtId="10" fontId="34" fillId="10" borderId="0" xfId="79" applyNumberFormat="1" applyFont="1" applyFill="1"/>
    <xf numFmtId="0" fontId="34" fillId="10" borderId="0" xfId="79" applyNumberFormat="1" applyFont="1" applyFill="1"/>
    <xf numFmtId="0" fontId="26" fillId="10" borderId="16" xfId="0" applyFont="1" applyFill="1" applyBorder="1"/>
    <xf numFmtId="0" fontId="26" fillId="10" borderId="7" xfId="0" applyFont="1" applyFill="1" applyBorder="1"/>
    <xf numFmtId="0" fontId="26" fillId="10" borderId="0" xfId="0" applyFont="1" applyFill="1" applyAlignment="1">
      <alignment horizontal="left"/>
    </xf>
    <xf numFmtId="0" fontId="26" fillId="10" borderId="0" xfId="0" applyFont="1" applyFill="1" applyAlignment="1">
      <alignment horizontal="left" indent="1"/>
    </xf>
    <xf numFmtId="0" fontId="26" fillId="10" borderId="0" xfId="0" applyFont="1" applyFill="1" applyAlignment="1">
      <alignment horizontal="left" indent="2"/>
    </xf>
    <xf numFmtId="0" fontId="26" fillId="10" borderId="0" xfId="0" applyFont="1" applyFill="1" applyBorder="1" applyAlignment="1">
      <alignment horizontal="center" wrapText="1"/>
    </xf>
    <xf numFmtId="0" fontId="26" fillId="10" borderId="12" xfId="0" applyFont="1" applyFill="1" applyBorder="1" applyAlignment="1">
      <alignment horizontal="center" wrapText="1"/>
    </xf>
    <xf numFmtId="173" fontId="34" fillId="10" borderId="0" xfId="0" applyNumberFormat="1" applyFont="1" applyFill="1"/>
    <xf numFmtId="0" fontId="26" fillId="10" borderId="0" xfId="0" applyFont="1" applyFill="1" applyBorder="1" applyAlignment="1">
      <alignment horizontal="left"/>
    </xf>
    <xf numFmtId="169" fontId="34" fillId="10" borderId="0" xfId="0" applyNumberFormat="1" applyFont="1" applyFill="1"/>
    <xf numFmtId="0" fontId="26" fillId="10" borderId="0" xfId="0" applyFont="1" applyFill="1" applyBorder="1" applyAlignment="1">
      <alignment horizontal="left" wrapText="1"/>
    </xf>
    <xf numFmtId="0" fontId="26" fillId="10" borderId="0" xfId="0" applyFont="1" applyFill="1" applyAlignment="1">
      <alignment horizontal="center" wrapText="1"/>
    </xf>
    <xf numFmtId="0" fontId="34" fillId="10" borderId="7" xfId="0" applyFont="1" applyFill="1" applyBorder="1" applyAlignment="1">
      <alignment horizontal="center"/>
    </xf>
    <xf numFmtId="0" fontId="34" fillId="10" borderId="4" xfId="0" applyFont="1" applyFill="1" applyBorder="1" applyAlignment="1">
      <alignment horizontal="center"/>
    </xf>
    <xf numFmtId="0" fontId="40" fillId="10" borderId="10" xfId="81" applyFont="1" applyFill="1"/>
    <xf numFmtId="164" fontId="34" fillId="10" borderId="0" xfId="0" applyNumberFormat="1" applyFont="1" applyFill="1"/>
    <xf numFmtId="9" fontId="34" fillId="10" borderId="0" xfId="79" applyNumberFormat="1" applyFont="1" applyFill="1"/>
    <xf numFmtId="0" fontId="34" fillId="10" borderId="16" xfId="0" applyFont="1" applyFill="1" applyBorder="1"/>
    <xf numFmtId="11" fontId="26" fillId="10" borderId="0" xfId="0" applyNumberFormat="1" applyFont="1" applyFill="1"/>
    <xf numFmtId="171" fontId="34" fillId="10" borderId="0" xfId="0" applyNumberFormat="1" applyFont="1" applyFill="1"/>
    <xf numFmtId="15" fontId="37" fillId="10" borderId="0" xfId="0" applyNumberFormat="1" applyFont="1" applyFill="1"/>
    <xf numFmtId="0" fontId="56" fillId="10" borderId="0" xfId="0" applyNumberFormat="1" applyFont="1" applyFill="1" applyBorder="1" applyAlignment="1" applyProtection="1">
      <alignment horizontal="left"/>
    </xf>
    <xf numFmtId="0" fontId="26" fillId="10" borderId="0" xfId="0" applyNumberFormat="1" applyFont="1" applyFill="1" applyBorder="1" applyAlignment="1" applyProtection="1">
      <alignment horizontal="left"/>
    </xf>
    <xf numFmtId="0" fontId="37" fillId="10" borderId="0" xfId="0" applyFont="1" applyFill="1" applyBorder="1" applyAlignment="1">
      <alignment horizontal="center"/>
    </xf>
    <xf numFmtId="0" fontId="21" fillId="10" borderId="0" xfId="0" applyNumberFormat="1" applyFont="1" applyFill="1" applyBorder="1" applyAlignment="1" applyProtection="1">
      <alignment horizontal="left"/>
    </xf>
    <xf numFmtId="0" fontId="21" fillId="10" borderId="0" xfId="0" applyNumberFormat="1" applyFont="1" applyFill="1" applyBorder="1" applyAlignment="1" applyProtection="1">
      <alignment horizontal="center"/>
    </xf>
    <xf numFmtId="3" fontId="21" fillId="10" borderId="0" xfId="0" applyNumberFormat="1" applyFont="1" applyFill="1" applyBorder="1" applyAlignment="1" applyProtection="1">
      <alignment horizontal="right"/>
    </xf>
    <xf numFmtId="0" fontId="34" fillId="10" borderId="0" xfId="0" applyFont="1" applyFill="1" applyBorder="1" applyAlignment="1"/>
    <xf numFmtId="3" fontId="34" fillId="10" borderId="0" xfId="0" applyNumberFormat="1" applyFont="1" applyFill="1" applyBorder="1"/>
    <xf numFmtId="0" fontId="34" fillId="10" borderId="0" xfId="0" applyNumberFormat="1" applyFont="1" applyFill="1"/>
    <xf numFmtId="0" fontId="0" fillId="10" borderId="0" xfId="0" applyFill="1" applyAlignment="1">
      <alignment horizontal="left"/>
    </xf>
    <xf numFmtId="0" fontId="0" fillId="10" borderId="0" xfId="0" applyNumberFormat="1" applyFill="1"/>
    <xf numFmtId="0" fontId="0" fillId="10" borderId="0" xfId="0" applyFill="1" applyAlignment="1">
      <alignment horizontal="left" indent="1"/>
    </xf>
    <xf numFmtId="0" fontId="26" fillId="10" borderId="1" xfId="0" applyFont="1" applyFill="1" applyBorder="1" applyAlignment="1">
      <alignment horizontal="center"/>
    </xf>
    <xf numFmtId="0" fontId="26" fillId="10" borderId="3" xfId="0" applyFont="1" applyFill="1" applyBorder="1" applyAlignment="1">
      <alignment horizontal="center"/>
    </xf>
    <xf numFmtId="0" fontId="34" fillId="10" borderId="30" xfId="0" applyFont="1" applyFill="1" applyBorder="1" applyAlignment="1">
      <alignment horizontal="center"/>
    </xf>
    <xf numFmtId="0" fontId="34" fillId="10" borderId="31" xfId="0" applyFont="1" applyFill="1" applyBorder="1" applyAlignment="1">
      <alignment horizontal="center"/>
    </xf>
    <xf numFmtId="0" fontId="34" fillId="10" borderId="2" xfId="0" applyFont="1" applyFill="1" applyBorder="1"/>
    <xf numFmtId="0" fontId="34" fillId="10" borderId="4" xfId="0" applyFont="1" applyFill="1" applyBorder="1" applyAlignment="1">
      <alignment vertical="center" wrapText="1"/>
    </xf>
    <xf numFmtId="1" fontId="34" fillId="10" borderId="39" xfId="0" applyNumberFormat="1" applyFont="1" applyFill="1" applyBorder="1"/>
    <xf numFmtId="1" fontId="34" fillId="10" borderId="40" xfId="0" applyNumberFormat="1" applyFont="1" applyFill="1" applyBorder="1"/>
    <xf numFmtId="1" fontId="34" fillId="10" borderId="26" xfId="0" applyNumberFormat="1" applyFont="1" applyFill="1" applyBorder="1"/>
    <xf numFmtId="1" fontId="34" fillId="10" borderId="8" xfId="0" applyNumberFormat="1" applyFont="1" applyFill="1" applyBorder="1"/>
    <xf numFmtId="0" fontId="34" fillId="10" borderId="1" xfId="0" applyFont="1" applyFill="1" applyBorder="1"/>
    <xf numFmtId="0" fontId="34" fillId="10" borderId="3" xfId="0" applyFont="1" applyFill="1" applyBorder="1" applyAlignment="1">
      <alignment vertical="center" wrapText="1"/>
    </xf>
    <xf numFmtId="1" fontId="34" fillId="10" borderId="41" xfId="0" applyNumberFormat="1" applyFont="1" applyFill="1" applyBorder="1"/>
    <xf numFmtId="1" fontId="34" fillId="10" borderId="0" xfId="0" applyNumberFormat="1" applyFont="1" applyFill="1" applyBorder="1"/>
    <xf numFmtId="1" fontId="34" fillId="10" borderId="12" xfId="0" applyNumberFormat="1" applyFont="1" applyFill="1" applyBorder="1"/>
    <xf numFmtId="1" fontId="34" fillId="10" borderId="21" xfId="0" applyNumberFormat="1" applyFont="1" applyFill="1" applyBorder="1"/>
    <xf numFmtId="0" fontId="34" fillId="10" borderId="5" xfId="0" applyFont="1" applyFill="1" applyBorder="1"/>
    <xf numFmtId="0" fontId="34" fillId="10" borderId="27" xfId="0" applyFont="1" applyFill="1" applyBorder="1" applyAlignment="1">
      <alignment vertical="center" wrapText="1"/>
    </xf>
    <xf numFmtId="1" fontId="34" fillId="10" borderId="49" xfId="0" applyNumberFormat="1" applyFont="1" applyFill="1" applyBorder="1"/>
    <xf numFmtId="1" fontId="34" fillId="10" borderId="43" xfId="0" applyNumberFormat="1" applyFont="1" applyFill="1" applyBorder="1"/>
    <xf numFmtId="1" fontId="34" fillId="10" borderId="4" xfId="0" applyNumberFormat="1" applyFont="1" applyFill="1" applyBorder="1"/>
    <xf numFmtId="1" fontId="34" fillId="10" borderId="23" xfId="0" applyNumberFormat="1" applyFont="1" applyFill="1" applyBorder="1"/>
    <xf numFmtId="0" fontId="26" fillId="10" borderId="1" xfId="0" applyFont="1" applyFill="1" applyBorder="1" applyAlignment="1">
      <alignment horizontal="center" vertical="center"/>
    </xf>
    <xf numFmtId="0" fontId="26" fillId="10" borderId="1" xfId="0" applyNumberFormat="1" applyFont="1" applyFill="1" applyBorder="1" applyAlignment="1" applyProtection="1">
      <alignment horizontal="center" vertical="center" wrapText="1"/>
    </xf>
    <xf numFmtId="0" fontId="26" fillId="10" borderId="1" xfId="0" applyFont="1" applyFill="1" applyBorder="1" applyAlignment="1">
      <alignment horizontal="center" vertical="center" wrapText="1"/>
    </xf>
    <xf numFmtId="1" fontId="34" fillId="10" borderId="0" xfId="0" applyNumberFormat="1" applyFont="1" applyFill="1" applyAlignment="1">
      <alignment horizontal="center" wrapText="1"/>
    </xf>
    <xf numFmtId="164" fontId="42" fillId="10" borderId="0" xfId="0" applyNumberFormat="1" applyFont="1" applyFill="1"/>
    <xf numFmtId="1" fontId="42" fillId="10" borderId="0" xfId="0" applyNumberFormat="1" applyFont="1" applyFill="1"/>
    <xf numFmtId="180" fontId="42" fillId="10" borderId="0" xfId="0" applyNumberFormat="1" applyFont="1" applyFill="1"/>
    <xf numFmtId="164" fontId="43" fillId="10" borderId="0" xfId="263" applyNumberFormat="1" applyFont="1" applyFill="1"/>
    <xf numFmtId="0" fontId="27" fillId="10" borderId="0" xfId="0" applyFont="1" applyFill="1"/>
    <xf numFmtId="168" fontId="34" fillId="10" borderId="0" xfId="0" applyNumberFormat="1" applyFont="1" applyFill="1"/>
    <xf numFmtId="9" fontId="34" fillId="10" borderId="0" xfId="0" applyNumberFormat="1" applyFont="1" applyFill="1"/>
    <xf numFmtId="0" fontId="39" fillId="10" borderId="3" xfId="0" applyFont="1" applyFill="1" applyBorder="1"/>
    <xf numFmtId="1" fontId="40" fillId="10" borderId="10" xfId="81" applyNumberFormat="1" applyFont="1" applyFill="1"/>
    <xf numFmtId="0" fontId="35" fillId="10" borderId="6" xfId="2" applyFont="1" applyFill="1"/>
    <xf numFmtId="0" fontId="34" fillId="10" borderId="0" xfId="0" applyFont="1" applyFill="1" applyBorder="1" applyAlignment="1" applyProtection="1">
      <protection locked="0"/>
    </xf>
    <xf numFmtId="0" fontId="35" fillId="10" borderId="6" xfId="2" applyFont="1" applyFill="1" applyAlignment="1" applyProtection="1">
      <protection locked="0"/>
    </xf>
    <xf numFmtId="1" fontId="40" fillId="10" borderId="10" xfId="81" applyNumberFormat="1" applyFont="1" applyFill="1" applyAlignment="1" applyProtection="1">
      <protection locked="0"/>
    </xf>
    <xf numFmtId="11" fontId="34" fillId="10" borderId="0" xfId="0" applyNumberFormat="1" applyFont="1" applyFill="1" applyBorder="1" applyAlignment="1" applyProtection="1">
      <protection locked="0"/>
    </xf>
    <xf numFmtId="11" fontId="35" fillId="10" borderId="6" xfId="2" applyNumberFormat="1" applyFont="1" applyFill="1" applyAlignment="1" applyProtection="1">
      <protection locked="0"/>
    </xf>
    <xf numFmtId="0" fontId="34" fillId="10" borderId="1" xfId="747" applyFont="1" applyFill="1" applyBorder="1" applyAlignment="1">
      <alignment horizontal="center"/>
    </xf>
    <xf numFmtId="0" fontId="34" fillId="10" borderId="1" xfId="747" applyFont="1" applyFill="1" applyBorder="1"/>
    <xf numFmtId="3" fontId="20" fillId="10" borderId="1" xfId="747" applyNumberFormat="1" applyFont="1" applyFill="1" applyBorder="1" applyAlignment="1" applyProtection="1">
      <alignment horizontal="center" wrapText="1"/>
    </xf>
    <xf numFmtId="0" fontId="20" fillId="10" borderId="3" xfId="747" applyNumberFormat="1" applyFont="1" applyFill="1" applyBorder="1" applyAlignment="1" applyProtection="1">
      <alignment horizontal="center" wrapText="1"/>
    </xf>
    <xf numFmtId="0" fontId="34" fillId="10" borderId="1" xfId="747" applyFont="1" applyFill="1" applyBorder="1" applyAlignment="1">
      <alignment horizontal="center" wrapText="1"/>
    </xf>
    <xf numFmtId="0" fontId="34" fillId="10" borderId="0" xfId="747" applyFont="1" applyFill="1" applyBorder="1" applyAlignment="1">
      <alignment horizontal="center" wrapText="1"/>
    </xf>
    <xf numFmtId="0" fontId="21" fillId="10" borderId="1" xfId="747" applyNumberFormat="1" applyFont="1" applyFill="1" applyBorder="1" applyAlignment="1" applyProtection="1">
      <alignment horizontal="right" wrapText="1"/>
    </xf>
    <xf numFmtId="3" fontId="21" fillId="10" borderId="1" xfId="747" applyNumberFormat="1" applyFont="1" applyFill="1" applyBorder="1" applyAlignment="1" applyProtection="1">
      <alignment horizontal="right" wrapText="1"/>
    </xf>
    <xf numFmtId="0" fontId="21" fillId="10" borderId="0" xfId="747" applyNumberFormat="1" applyFont="1" applyFill="1" applyBorder="1" applyAlignment="1" applyProtection="1">
      <alignment horizontal="right" wrapText="1"/>
    </xf>
    <xf numFmtId="1" fontId="36" fillId="10" borderId="0" xfId="747" applyNumberFormat="1" applyFont="1" applyFill="1"/>
    <xf numFmtId="3" fontId="37" fillId="10" borderId="1" xfId="747" applyNumberFormat="1" applyFont="1" applyFill="1" applyBorder="1" applyAlignment="1" applyProtection="1">
      <alignment horizontal="right" wrapText="1"/>
    </xf>
    <xf numFmtId="1" fontId="37" fillId="12" borderId="0" xfId="0" applyNumberFormat="1" applyFont="1" applyFill="1"/>
    <xf numFmtId="166" fontId="34" fillId="10" borderId="0" xfId="747" applyNumberFormat="1" applyFont="1" applyFill="1"/>
    <xf numFmtId="0" fontId="37" fillId="12" borderId="0" xfId="0" applyFont="1" applyFill="1" applyAlignment="1">
      <alignment horizontal="center" vertical="center"/>
    </xf>
    <xf numFmtId="0" fontId="37" fillId="12" borderId="0" xfId="0" applyFont="1" applyFill="1"/>
    <xf numFmtId="0" fontId="34" fillId="0" borderId="0" xfId="768" applyFont="1"/>
    <xf numFmtId="1" fontId="26" fillId="0" borderId="0" xfId="0" applyNumberFormat="1" applyFont="1"/>
    <xf numFmtId="1" fontId="26" fillId="0" borderId="0" xfId="0" applyNumberFormat="1" applyFont="1" applyFill="1"/>
    <xf numFmtId="0" fontId="34" fillId="10" borderId="0" xfId="768" applyFont="1" applyFill="1"/>
    <xf numFmtId="0" fontId="26" fillId="10" borderId="0" xfId="768" applyFont="1" applyFill="1"/>
    <xf numFmtId="178" fontId="34" fillId="37" borderId="0" xfId="0" applyNumberFormat="1" applyFont="1" applyFill="1" applyBorder="1" applyAlignment="1">
      <alignment vertical="center" wrapText="1"/>
    </xf>
    <xf numFmtId="178" fontId="34" fillId="38" borderId="0" xfId="0" applyNumberFormat="1" applyFont="1" applyFill="1" applyBorder="1" applyAlignment="1">
      <alignment vertical="center" wrapText="1"/>
    </xf>
    <xf numFmtId="178" fontId="34" fillId="39" borderId="0" xfId="0" applyNumberFormat="1" applyFont="1" applyFill="1" applyBorder="1" applyAlignment="1">
      <alignment vertical="center" wrapText="1"/>
    </xf>
    <xf numFmtId="178" fontId="52" fillId="40" borderId="0" xfId="0" applyNumberFormat="1" applyFont="1" applyFill="1" applyBorder="1" applyAlignment="1">
      <alignment vertical="center" wrapText="1"/>
    </xf>
    <xf numFmtId="178" fontId="52" fillId="41" borderId="0" xfId="0" applyNumberFormat="1" applyFont="1" applyFill="1" applyBorder="1" applyAlignment="1">
      <alignment vertical="center" wrapText="1"/>
    </xf>
    <xf numFmtId="0" fontId="37" fillId="15" borderId="0" xfId="0" applyFont="1" applyFill="1" applyBorder="1" applyAlignment="1">
      <alignment vertical="center"/>
    </xf>
    <xf numFmtId="0" fontId="52" fillId="19" borderId="0" xfId="0" applyFont="1" applyFill="1" applyBorder="1" applyAlignment="1">
      <alignment vertical="center"/>
    </xf>
    <xf numFmtId="0" fontId="52" fillId="55" borderId="0" xfId="0" applyFont="1" applyFill="1" applyBorder="1" applyAlignment="1">
      <alignment vertical="center"/>
    </xf>
    <xf numFmtId="0" fontId="52" fillId="17" borderId="0" xfId="0" applyFont="1" applyFill="1" applyBorder="1" applyAlignment="1">
      <alignment vertical="center"/>
    </xf>
    <xf numFmtId="0" fontId="52" fillId="16" borderId="0" xfId="0" applyFont="1" applyFill="1" applyBorder="1" applyAlignment="1">
      <alignment vertical="center"/>
    </xf>
    <xf numFmtId="0" fontId="52" fillId="64" borderId="0" xfId="0" applyFont="1" applyFill="1" applyBorder="1" applyAlignment="1">
      <alignment vertical="center"/>
    </xf>
    <xf numFmtId="0" fontId="52" fillId="13" borderId="0" xfId="0" applyFont="1" applyFill="1" applyBorder="1" applyAlignment="1">
      <alignment vertical="center"/>
    </xf>
    <xf numFmtId="0" fontId="52" fillId="61" borderId="0" xfId="0" applyFont="1" applyFill="1" applyBorder="1" applyAlignment="1">
      <alignment vertical="center"/>
    </xf>
    <xf numFmtId="0" fontId="52" fillId="21" borderId="0" xfId="0" applyFont="1" applyFill="1" applyBorder="1" applyAlignment="1">
      <alignment vertical="center"/>
    </xf>
    <xf numFmtId="0" fontId="37" fillId="53" borderId="0" xfId="0" applyFont="1" applyFill="1" applyBorder="1" applyAlignment="1">
      <alignment vertical="center"/>
    </xf>
    <xf numFmtId="0" fontId="52" fillId="60" borderId="0" xfId="0" applyFont="1" applyFill="1" applyBorder="1" applyAlignment="1">
      <alignment vertical="center"/>
    </xf>
    <xf numFmtId="0" fontId="52" fillId="24" borderId="0" xfId="0" applyFont="1" applyFill="1" applyBorder="1" applyAlignment="1">
      <alignment vertical="center"/>
    </xf>
    <xf numFmtId="0" fontId="52" fillId="25" borderId="0" xfId="0" applyFont="1" applyFill="1" applyBorder="1" applyAlignment="1">
      <alignment vertical="center"/>
    </xf>
    <xf numFmtId="0" fontId="37" fillId="59" borderId="0" xfId="0" applyFont="1" applyFill="1" applyBorder="1" applyAlignment="1">
      <alignment vertical="center"/>
    </xf>
    <xf numFmtId="0" fontId="37" fillId="29" borderId="0" xfId="0" applyFont="1" applyFill="1" applyBorder="1" applyAlignment="1">
      <alignment vertical="center"/>
    </xf>
    <xf numFmtId="0" fontId="52" fillId="52" borderId="0" xfId="0" applyFont="1" applyFill="1" applyBorder="1" applyAlignment="1">
      <alignment vertical="center"/>
    </xf>
    <xf numFmtId="0" fontId="52" fillId="27" borderId="0" xfId="0" applyFont="1" applyFill="1" applyBorder="1" applyAlignment="1">
      <alignment vertical="center"/>
    </xf>
    <xf numFmtId="0" fontId="34" fillId="10" borderId="0" xfId="768" applyFont="1" applyFill="1" applyAlignment="1">
      <alignment vertical="center"/>
    </xf>
    <xf numFmtId="0" fontId="52" fillId="10" borderId="0" xfId="768" applyFont="1" applyFill="1" applyAlignment="1">
      <alignment vertical="center"/>
    </xf>
    <xf numFmtId="0" fontId="45" fillId="57" borderId="0" xfId="0" applyFont="1" applyFill="1" applyAlignment="1">
      <alignment horizontal="center" vertical="center"/>
    </xf>
    <xf numFmtId="0" fontId="26" fillId="10" borderId="0" xfId="768" applyFont="1" applyFill="1" applyAlignment="1">
      <alignment horizontal="center" vertical="center"/>
    </xf>
    <xf numFmtId="0" fontId="26" fillId="58" borderId="0" xfId="0" applyFont="1" applyFill="1" applyAlignment="1">
      <alignment horizontal="center" vertical="center"/>
    </xf>
    <xf numFmtId="1" fontId="34" fillId="10" borderId="0" xfId="0" applyNumberFormat="1" applyFont="1" applyFill="1" applyAlignment="1">
      <alignment vertical="center"/>
    </xf>
    <xf numFmtId="1" fontId="34" fillId="10" borderId="0" xfId="79" applyNumberFormat="1" applyFont="1" applyFill="1" applyAlignment="1">
      <alignment vertical="center"/>
    </xf>
    <xf numFmtId="9" fontId="34" fillId="10" borderId="0" xfId="79" applyNumberFormat="1" applyFont="1" applyFill="1" applyAlignment="1">
      <alignment vertical="center"/>
    </xf>
    <xf numFmtId="0" fontId="26" fillId="10" borderId="0" xfId="0" applyFont="1" applyFill="1" applyAlignment="1">
      <alignment vertical="center"/>
    </xf>
    <xf numFmtId="0" fontId="37" fillId="10" borderId="0" xfId="0" applyFont="1" applyFill="1" applyAlignment="1">
      <alignment vertical="center"/>
    </xf>
    <xf numFmtId="0" fontId="38" fillId="58" borderId="0" xfId="0" applyFont="1" applyFill="1" applyAlignment="1">
      <alignment horizontal="center" vertical="center"/>
    </xf>
    <xf numFmtId="1" fontId="37" fillId="10" borderId="0" xfId="0" applyNumberFormat="1" applyFont="1" applyFill="1" applyAlignment="1">
      <alignment vertical="center"/>
    </xf>
    <xf numFmtId="1" fontId="45" fillId="57" borderId="0" xfId="0" applyNumberFormat="1" applyFont="1" applyFill="1" applyAlignment="1">
      <alignment horizontal="center" vertical="center"/>
    </xf>
    <xf numFmtId="1" fontId="26" fillId="10" borderId="0" xfId="0" applyNumberFormat="1" applyFont="1" applyFill="1" applyAlignment="1">
      <alignment vertical="center"/>
    </xf>
    <xf numFmtId="0" fontId="47" fillId="0" borderId="0" xfId="750" quotePrefix="1" applyFont="1"/>
    <xf numFmtId="9" fontId="35" fillId="10" borderId="0" xfId="79" applyFont="1" applyFill="1" applyBorder="1"/>
    <xf numFmtId="11" fontId="34" fillId="10" borderId="95" xfId="747" applyNumberFormat="1" applyFont="1" applyFill="1" applyBorder="1"/>
    <xf numFmtId="169" fontId="44" fillId="10" borderId="96" xfId="80" applyNumberFormat="1" applyFont="1" applyFill="1" applyBorder="1"/>
    <xf numFmtId="173" fontId="34" fillId="10" borderId="97" xfId="747" applyNumberFormat="1" applyFont="1" applyFill="1" applyBorder="1"/>
    <xf numFmtId="169" fontId="34" fillId="10" borderId="97" xfId="747" applyNumberFormat="1" applyFont="1" applyFill="1" applyBorder="1"/>
    <xf numFmtId="0" fontId="34" fillId="10" borderId="97" xfId="747" applyFont="1" applyFill="1" applyBorder="1"/>
    <xf numFmtId="169" fontId="26" fillId="10" borderId="65" xfId="747" applyNumberFormat="1" applyFont="1" applyFill="1" applyBorder="1" applyAlignment="1">
      <alignment horizontal="center" wrapText="1"/>
    </xf>
    <xf numFmtId="0" fontId="34" fillId="10" borderId="98" xfId="747" applyFont="1" applyFill="1" applyBorder="1"/>
    <xf numFmtId="169" fontId="44" fillId="10" borderId="99" xfId="80" applyNumberFormat="1" applyFont="1" applyFill="1" applyBorder="1"/>
    <xf numFmtId="0" fontId="34" fillId="10" borderId="95" xfId="747" applyFont="1" applyFill="1" applyBorder="1"/>
    <xf numFmtId="0" fontId="44" fillId="10" borderId="96" xfId="80" applyFont="1" applyFill="1" applyBorder="1"/>
    <xf numFmtId="0" fontId="34" fillId="10" borderId="97" xfId="0" applyFont="1" applyFill="1" applyBorder="1"/>
    <xf numFmtId="1" fontId="44" fillId="10" borderId="96" xfId="80" applyNumberFormat="1" applyFont="1" applyFill="1" applyBorder="1"/>
    <xf numFmtId="1" fontId="34" fillId="10" borderId="97" xfId="747" applyNumberFormat="1" applyFont="1" applyFill="1" applyBorder="1"/>
    <xf numFmtId="1" fontId="44" fillId="10" borderId="100" xfId="80" applyNumberFormat="1" applyFont="1" applyFill="1" applyBorder="1"/>
    <xf numFmtId="169" fontId="46" fillId="10" borderId="96" xfId="80" applyNumberFormat="1" applyFont="1" applyFill="1" applyBorder="1"/>
    <xf numFmtId="172" fontId="34" fillId="10" borderId="97" xfId="747" applyNumberFormat="1" applyFont="1" applyFill="1" applyBorder="1"/>
    <xf numFmtId="169" fontId="62" fillId="10" borderId="97" xfId="80" applyNumberFormat="1" applyFont="1" applyFill="1" applyBorder="1"/>
    <xf numFmtId="169" fontId="44" fillId="10" borderId="97" xfId="80" applyNumberFormat="1" applyFont="1" applyFill="1" applyBorder="1"/>
    <xf numFmtId="169" fontId="62" fillId="10" borderId="96" xfId="80" applyNumberFormat="1" applyFont="1" applyFill="1" applyBorder="1"/>
    <xf numFmtId="0" fontId="34" fillId="0" borderId="97" xfId="747" applyFont="1" applyBorder="1"/>
    <xf numFmtId="169" fontId="26" fillId="10" borderId="95" xfId="747" applyNumberFormat="1" applyFont="1" applyFill="1" applyBorder="1" applyAlignment="1">
      <alignment horizontal="center" wrapText="1"/>
    </xf>
    <xf numFmtId="169" fontId="26" fillId="10" borderId="101" xfId="747" applyNumberFormat="1" applyFont="1" applyFill="1" applyBorder="1" applyAlignment="1">
      <alignment horizontal="center" wrapText="1"/>
    </xf>
    <xf numFmtId="169" fontId="44" fillId="5" borderId="96" xfId="80" applyNumberFormat="1" applyFont="1" applyBorder="1"/>
    <xf numFmtId="169" fontId="44" fillId="10" borderId="102" xfId="80" applyNumberFormat="1" applyFont="1" applyFill="1" applyBorder="1"/>
    <xf numFmtId="169" fontId="44" fillId="10" borderId="103" xfId="80" applyNumberFormat="1" applyFont="1" applyFill="1" applyBorder="1"/>
    <xf numFmtId="169" fontId="44" fillId="10" borderId="104" xfId="80" applyNumberFormat="1" applyFont="1" applyFill="1" applyBorder="1"/>
    <xf numFmtId="0" fontId="34" fillId="10" borderId="41" xfId="747" applyFont="1" applyFill="1" applyBorder="1" applyAlignment="1">
      <alignment horizontal="center" wrapText="1"/>
    </xf>
    <xf numFmtId="0" fontId="34" fillId="10" borderId="42" xfId="747" applyFont="1" applyFill="1" applyBorder="1" applyAlignment="1">
      <alignment horizontal="center" wrapText="1"/>
    </xf>
    <xf numFmtId="0" fontId="34" fillId="10" borderId="26" xfId="747" applyFont="1" applyFill="1" applyBorder="1"/>
    <xf numFmtId="0" fontId="34" fillId="10" borderId="8" xfId="747" applyFont="1" applyFill="1" applyBorder="1"/>
    <xf numFmtId="169" fontId="34" fillId="10" borderId="12" xfId="747" applyNumberFormat="1" applyFont="1" applyFill="1" applyBorder="1"/>
    <xf numFmtId="169" fontId="34" fillId="10" borderId="21" xfId="747" applyNumberFormat="1" applyFont="1" applyFill="1" applyBorder="1"/>
    <xf numFmtId="0" fontId="34" fillId="10" borderId="21" xfId="747" applyFont="1" applyFill="1" applyBorder="1"/>
    <xf numFmtId="169" fontId="34" fillId="10" borderId="4" xfId="747" applyNumberFormat="1" applyFont="1" applyFill="1" applyBorder="1"/>
    <xf numFmtId="169" fontId="34" fillId="10" borderId="23" xfId="747" applyNumberFormat="1" applyFont="1" applyFill="1" applyBorder="1"/>
    <xf numFmtId="11" fontId="34" fillId="10" borderId="8" xfId="747" applyNumberFormat="1" applyFont="1" applyFill="1" applyBorder="1"/>
    <xf numFmtId="169" fontId="34" fillId="10" borderId="12" xfId="748" applyNumberFormat="1" applyFont="1" applyFill="1" applyBorder="1"/>
    <xf numFmtId="169" fontId="37" fillId="10" borderId="21" xfId="747" applyNumberFormat="1" applyFont="1" applyFill="1" applyBorder="1"/>
    <xf numFmtId="9" fontId="34" fillId="10" borderId="21" xfId="79" applyFont="1" applyFill="1" applyBorder="1"/>
    <xf numFmtId="174" fontId="34" fillId="10" borderId="26" xfId="747" applyNumberFormat="1" applyFont="1" applyFill="1" applyBorder="1"/>
    <xf numFmtId="0" fontId="38" fillId="12" borderId="7" xfId="0" applyFont="1" applyFill="1" applyBorder="1" applyAlignment="1">
      <alignment horizontal="center" vertical="center"/>
    </xf>
    <xf numFmtId="0" fontId="37" fillId="12" borderId="0" xfId="0" applyFont="1" applyFill="1" applyBorder="1" applyAlignment="1">
      <alignment horizontal="center" vertical="center"/>
    </xf>
    <xf numFmtId="0" fontId="22" fillId="12" borderId="0" xfId="0" applyFont="1" applyFill="1" applyBorder="1" applyAlignment="1">
      <alignment vertical="center" wrapText="1"/>
    </xf>
    <xf numFmtId="0" fontId="37" fillId="12" borderId="0" xfId="0" applyFont="1" applyFill="1" applyBorder="1" applyAlignment="1">
      <alignment horizontal="left" vertical="center"/>
    </xf>
    <xf numFmtId="0" fontId="38" fillId="12" borderId="16" xfId="0" applyFont="1" applyFill="1" applyBorder="1" applyAlignment="1">
      <alignment horizontal="center" vertical="center"/>
    </xf>
    <xf numFmtId="0" fontId="37" fillId="12" borderId="13" xfId="0" applyFont="1" applyFill="1" applyBorder="1" applyAlignment="1">
      <alignment horizontal="center" vertical="center"/>
    </xf>
    <xf numFmtId="0" fontId="22" fillId="12" borderId="13" xfId="0" applyFont="1" applyFill="1" applyBorder="1" applyAlignment="1">
      <alignment vertical="center" wrapText="1"/>
    </xf>
    <xf numFmtId="0" fontId="37" fillId="12" borderId="13" xfId="0" applyFont="1" applyFill="1" applyBorder="1" applyAlignment="1">
      <alignment horizontal="left" vertical="center"/>
    </xf>
    <xf numFmtId="0" fontId="37" fillId="12" borderId="7" xfId="0" applyFont="1" applyFill="1" applyBorder="1" applyAlignment="1">
      <alignment horizontal="center" vertical="center"/>
    </xf>
    <xf numFmtId="0" fontId="22" fillId="12" borderId="7" xfId="0" applyFont="1" applyFill="1" applyBorder="1" applyAlignment="1">
      <alignment vertical="center" wrapText="1"/>
    </xf>
    <xf numFmtId="0" fontId="37" fillId="12" borderId="7" xfId="0" applyFont="1" applyFill="1" applyBorder="1" applyAlignment="1">
      <alignment horizontal="left" vertical="center"/>
    </xf>
    <xf numFmtId="0" fontId="37" fillId="12" borderId="0" xfId="0" applyFont="1" applyFill="1" applyBorder="1"/>
    <xf numFmtId="0" fontId="37" fillId="10" borderId="0" xfId="0" applyFont="1" applyFill="1" applyBorder="1"/>
    <xf numFmtId="0" fontId="37" fillId="12" borderId="7" xfId="0" applyFont="1" applyFill="1" applyBorder="1"/>
    <xf numFmtId="0" fontId="37" fillId="10" borderId="7" xfId="0" applyFont="1" applyFill="1" applyBorder="1"/>
    <xf numFmtId="0" fontId="47" fillId="12" borderId="0" xfId="750" quotePrefix="1" applyFont="1" applyFill="1" applyBorder="1" applyAlignment="1">
      <alignment horizontal="left" vertical="center"/>
    </xf>
    <xf numFmtId="0" fontId="47" fillId="10" borderId="0" xfId="750" applyFont="1" applyFill="1" applyAlignment="1">
      <alignment horizontal="left" indent="1"/>
    </xf>
    <xf numFmtId="0" fontId="65" fillId="69" borderId="0" xfId="0" applyFont="1" applyFill="1"/>
    <xf numFmtId="0" fontId="34" fillId="69" borderId="0" xfId="0" applyFont="1" applyFill="1"/>
    <xf numFmtId="49" fontId="34" fillId="10" borderId="0" xfId="0" applyNumberFormat="1" applyFont="1" applyFill="1"/>
    <xf numFmtId="9" fontId="34" fillId="0" borderId="0" xfId="79" applyFont="1" applyAlignment="1">
      <alignment vertical="center"/>
    </xf>
    <xf numFmtId="9" fontId="34" fillId="0" borderId="0" xfId="79" applyNumberFormat="1" applyFont="1" applyAlignment="1">
      <alignment vertical="center"/>
    </xf>
    <xf numFmtId="0" fontId="29" fillId="10" borderId="7" xfId="0" applyFont="1" applyFill="1" applyBorder="1" applyAlignment="1">
      <alignment vertical="center"/>
    </xf>
    <xf numFmtId="169" fontId="29" fillId="10" borderId="7" xfId="0" applyNumberFormat="1" applyFont="1" applyFill="1" applyBorder="1" applyAlignment="1">
      <alignment vertical="center"/>
    </xf>
    <xf numFmtId="0" fontId="44" fillId="10" borderId="0" xfId="80" applyFont="1" applyFill="1" applyBorder="1"/>
    <xf numFmtId="0" fontId="44" fillId="10" borderId="105" xfId="80" applyFont="1" applyFill="1" applyBorder="1"/>
    <xf numFmtId="178" fontId="26" fillId="39" borderId="7" xfId="0" applyNumberFormat="1" applyFont="1" applyFill="1" applyBorder="1" applyAlignment="1">
      <alignment horizontal="center" vertical="center" wrapText="1"/>
    </xf>
    <xf numFmtId="178" fontId="45" fillId="40" borderId="7" xfId="0" applyNumberFormat="1" applyFont="1" applyFill="1" applyBorder="1" applyAlignment="1">
      <alignment horizontal="center" vertical="center" wrapText="1"/>
    </xf>
    <xf numFmtId="178" fontId="45" fillId="41" borderId="7" xfId="0" applyNumberFormat="1" applyFont="1" applyFill="1" applyBorder="1" applyAlignment="1">
      <alignment horizontal="center" vertical="center" wrapText="1"/>
    </xf>
    <xf numFmtId="178" fontId="26" fillId="10" borderId="7" xfId="0" applyNumberFormat="1" applyFont="1" applyFill="1" applyBorder="1" applyAlignment="1">
      <alignment horizontal="center" vertical="center" wrapText="1"/>
    </xf>
    <xf numFmtId="178" fontId="51" fillId="14" borderId="86" xfId="0" applyNumberFormat="1" applyFont="1" applyFill="1" applyBorder="1" applyAlignment="1" applyProtection="1">
      <alignment horizontal="center" vertical="center"/>
      <protection locked="0"/>
    </xf>
    <xf numFmtId="178" fontId="51" fillId="14" borderId="87" xfId="0" applyNumberFormat="1" applyFont="1" applyFill="1" applyBorder="1" applyAlignment="1" applyProtection="1">
      <alignment horizontal="center" vertical="center"/>
      <protection locked="0"/>
    </xf>
    <xf numFmtId="178" fontId="51" fillId="14" borderId="88" xfId="0" applyNumberFormat="1" applyFont="1" applyFill="1" applyBorder="1" applyAlignment="1" applyProtection="1">
      <alignment horizontal="center" vertical="center"/>
      <protection locked="0"/>
    </xf>
    <xf numFmtId="178" fontId="23" fillId="42" borderId="78" xfId="0" applyNumberFormat="1" applyFont="1" applyFill="1" applyBorder="1" applyAlignment="1">
      <alignment horizontal="center" vertical="center"/>
    </xf>
    <xf numFmtId="178" fontId="23" fillId="42" borderId="79" xfId="0" applyNumberFormat="1" applyFont="1" applyFill="1" applyBorder="1" applyAlignment="1">
      <alignment horizontal="center" vertical="center"/>
    </xf>
    <xf numFmtId="178" fontId="23" fillId="42" borderId="80" xfId="0" applyNumberFormat="1" applyFont="1" applyFill="1" applyBorder="1" applyAlignment="1">
      <alignment horizontal="center" vertical="center"/>
    </xf>
    <xf numFmtId="178" fontId="25" fillId="42" borderId="81" xfId="0" applyNumberFormat="1" applyFont="1" applyFill="1" applyBorder="1" applyAlignment="1">
      <alignment horizontal="center" vertical="center"/>
    </xf>
    <xf numFmtId="178" fontId="25" fillId="42" borderId="82" xfId="0" applyNumberFormat="1" applyFont="1" applyFill="1" applyBorder="1" applyAlignment="1">
      <alignment horizontal="center" vertical="center"/>
    </xf>
    <xf numFmtId="178" fontId="25" fillId="42" borderId="83" xfId="0" applyNumberFormat="1" applyFont="1" applyFill="1" applyBorder="1" applyAlignment="1">
      <alignment horizontal="center" vertical="center"/>
    </xf>
    <xf numFmtId="178" fontId="34" fillId="10" borderId="32" xfId="0" applyNumberFormat="1" applyFont="1" applyFill="1" applyBorder="1" applyAlignment="1">
      <alignment horizontal="center" vertical="center" wrapText="1"/>
    </xf>
    <xf numFmtId="178" fontId="26" fillId="38" borderId="7" xfId="0" applyNumberFormat="1" applyFont="1" applyFill="1" applyBorder="1" applyAlignment="1">
      <alignment horizontal="center" vertical="center" wrapText="1"/>
    </xf>
    <xf numFmtId="178" fontId="26" fillId="37" borderId="85" xfId="0" applyNumberFormat="1" applyFont="1" applyFill="1" applyBorder="1" applyAlignment="1">
      <alignment horizontal="center" vertical="center" wrapText="1"/>
    </xf>
    <xf numFmtId="178" fontId="26" fillId="37" borderId="84" xfId="0" applyNumberFormat="1" applyFont="1" applyFill="1" applyBorder="1" applyAlignment="1">
      <alignment horizontal="center" vertical="center" wrapText="1"/>
    </xf>
    <xf numFmtId="178" fontId="26" fillId="37" borderId="4" xfId="0" applyNumberFormat="1" applyFont="1" applyFill="1" applyBorder="1" applyAlignment="1">
      <alignment horizontal="center" vertical="center" wrapText="1"/>
    </xf>
    <xf numFmtId="178" fontId="26" fillId="37" borderId="7" xfId="0" applyNumberFormat="1" applyFont="1" applyFill="1" applyBorder="1" applyAlignment="1">
      <alignment horizontal="center" vertical="center" wrapText="1"/>
    </xf>
    <xf numFmtId="178" fontId="34" fillId="10" borderId="12" xfId="0" applyNumberFormat="1" applyFont="1" applyFill="1" applyBorder="1" applyAlignment="1">
      <alignment horizontal="center" vertical="center" wrapText="1"/>
    </xf>
    <xf numFmtId="178" fontId="51" fillId="25" borderId="86" xfId="0" applyNumberFormat="1" applyFont="1" applyFill="1" applyBorder="1" applyAlignment="1" applyProtection="1">
      <alignment horizontal="center" vertical="center"/>
      <protection locked="0"/>
    </xf>
    <xf numFmtId="178" fontId="51" fillId="25" borderId="87" xfId="0" applyNumberFormat="1" applyFont="1" applyFill="1" applyBorder="1" applyAlignment="1" applyProtection="1">
      <alignment horizontal="center" vertical="center"/>
      <protection locked="0"/>
    </xf>
    <xf numFmtId="178" fontId="51" fillId="25" borderId="88" xfId="0" applyNumberFormat="1" applyFont="1" applyFill="1" applyBorder="1" applyAlignment="1" applyProtection="1">
      <alignment horizontal="center" vertical="center"/>
      <protection locked="0"/>
    </xf>
    <xf numFmtId="178" fontId="51" fillId="26" borderId="86" xfId="0" applyNumberFormat="1" applyFont="1" applyFill="1" applyBorder="1" applyAlignment="1" applyProtection="1">
      <alignment horizontal="center" vertical="center"/>
      <protection locked="0"/>
    </xf>
    <xf numFmtId="178" fontId="51" fillId="26" borderId="87" xfId="0" applyNumberFormat="1" applyFont="1" applyFill="1" applyBorder="1" applyAlignment="1" applyProtection="1">
      <alignment horizontal="center" vertical="center"/>
      <protection locked="0"/>
    </xf>
    <xf numFmtId="178" fontId="51" fillId="26" borderId="88" xfId="0" applyNumberFormat="1" applyFont="1" applyFill="1" applyBorder="1" applyAlignment="1" applyProtection="1">
      <alignment horizontal="center" vertical="center"/>
      <protection locked="0"/>
    </xf>
    <xf numFmtId="178" fontId="51" fillId="24" borderId="86" xfId="0" applyNumberFormat="1" applyFont="1" applyFill="1" applyBorder="1" applyAlignment="1" applyProtection="1">
      <alignment horizontal="center" vertical="center"/>
      <protection locked="0"/>
    </xf>
    <xf numFmtId="178" fontId="51" fillId="24" borderId="87" xfId="0" applyNumberFormat="1" applyFont="1" applyFill="1" applyBorder="1" applyAlignment="1" applyProtection="1">
      <alignment horizontal="center" vertical="center"/>
      <protection locked="0"/>
    </xf>
    <xf numFmtId="178" fontId="51" fillId="24" borderId="88" xfId="0" applyNumberFormat="1" applyFont="1" applyFill="1" applyBorder="1" applyAlignment="1" applyProtection="1">
      <alignment horizontal="center" vertical="center"/>
      <protection locked="0"/>
    </xf>
    <xf numFmtId="178" fontId="51" fillId="13" borderId="86" xfId="0" applyNumberFormat="1" applyFont="1" applyFill="1" applyBorder="1" applyAlignment="1" applyProtection="1">
      <alignment horizontal="center" vertical="center"/>
      <protection locked="0"/>
    </xf>
    <xf numFmtId="178" fontId="51" fillId="13" borderId="87" xfId="0" applyNumberFormat="1" applyFont="1" applyFill="1" applyBorder="1" applyAlignment="1" applyProtection="1">
      <alignment horizontal="center" vertical="center"/>
      <protection locked="0"/>
    </xf>
    <xf numFmtId="178" fontId="51" fillId="13" borderId="88" xfId="0" applyNumberFormat="1" applyFont="1" applyFill="1" applyBorder="1" applyAlignment="1" applyProtection="1">
      <alignment horizontal="center" vertical="center"/>
      <protection locked="0"/>
    </xf>
    <xf numFmtId="178" fontId="51" fillId="16" borderId="86" xfId="0" applyNumberFormat="1" applyFont="1" applyFill="1" applyBorder="1" applyAlignment="1" applyProtection="1">
      <alignment horizontal="center" vertical="center"/>
      <protection locked="0"/>
    </xf>
    <xf numFmtId="178" fontId="51" fillId="16" borderId="87" xfId="0" applyNumberFormat="1" applyFont="1" applyFill="1" applyBorder="1" applyAlignment="1" applyProtection="1">
      <alignment horizontal="center" vertical="center"/>
      <protection locked="0"/>
    </xf>
    <xf numFmtId="178" fontId="51" fillId="16" borderId="88" xfId="0" applyNumberFormat="1" applyFont="1" applyFill="1" applyBorder="1" applyAlignment="1" applyProtection="1">
      <alignment horizontal="center" vertical="center"/>
      <protection locked="0"/>
    </xf>
    <xf numFmtId="178" fontId="24" fillId="15" borderId="86" xfId="0" applyNumberFormat="1" applyFont="1" applyFill="1" applyBorder="1" applyAlignment="1" applyProtection="1">
      <alignment horizontal="center" vertical="center"/>
      <protection locked="0"/>
    </xf>
    <xf numFmtId="178" fontId="24" fillId="15" borderId="87" xfId="0" applyNumberFormat="1" applyFont="1" applyFill="1" applyBorder="1" applyAlignment="1" applyProtection="1">
      <alignment horizontal="center" vertical="center"/>
      <protection locked="0"/>
    </xf>
    <xf numFmtId="178" fontId="24" fillId="15" borderId="88" xfId="0" applyNumberFormat="1" applyFont="1" applyFill="1" applyBorder="1" applyAlignment="1" applyProtection="1">
      <alignment horizontal="center" vertical="center"/>
      <protection locked="0"/>
    </xf>
    <xf numFmtId="0" fontId="34" fillId="0" borderId="0" xfId="0" applyFont="1" applyFill="1" applyBorder="1" applyAlignment="1" applyProtection="1">
      <alignment horizontal="center"/>
      <protection locked="0"/>
    </xf>
    <xf numFmtId="178" fontId="51" fillId="23" borderId="86" xfId="0" applyNumberFormat="1" applyFont="1" applyFill="1" applyBorder="1" applyAlignment="1" applyProtection="1">
      <alignment horizontal="center" vertical="center"/>
      <protection locked="0"/>
    </xf>
    <xf numFmtId="178" fontId="51" fillId="23" borderId="87" xfId="0" applyNumberFormat="1" applyFont="1" applyFill="1" applyBorder="1" applyAlignment="1" applyProtection="1">
      <alignment horizontal="center" vertical="center"/>
      <protection locked="0"/>
    </xf>
    <xf numFmtId="178" fontId="51" fillId="23" borderId="88" xfId="0" applyNumberFormat="1" applyFont="1" applyFill="1" applyBorder="1" applyAlignment="1" applyProtection="1">
      <alignment horizontal="center" vertical="center"/>
      <protection locked="0"/>
    </xf>
    <xf numFmtId="178" fontId="24" fillId="22" borderId="86" xfId="0" applyNumberFormat="1" applyFont="1" applyFill="1" applyBorder="1" applyAlignment="1" applyProtection="1">
      <alignment horizontal="center" vertical="center"/>
      <protection locked="0"/>
    </xf>
    <xf numFmtId="178" fontId="24" fillId="22" borderId="87" xfId="0" applyNumberFormat="1" applyFont="1" applyFill="1" applyBorder="1" applyAlignment="1" applyProtection="1">
      <alignment horizontal="center" vertical="center"/>
      <protection locked="0"/>
    </xf>
    <xf numFmtId="178" fontId="24" fillId="22" borderId="88" xfId="0" applyNumberFormat="1" applyFont="1" applyFill="1" applyBorder="1" applyAlignment="1" applyProtection="1">
      <alignment horizontal="center" vertical="center"/>
      <protection locked="0"/>
    </xf>
    <xf numFmtId="178" fontId="51" fillId="21" borderId="86" xfId="0" applyNumberFormat="1" applyFont="1" applyFill="1" applyBorder="1" applyAlignment="1" applyProtection="1">
      <alignment horizontal="center" vertical="center"/>
      <protection locked="0"/>
    </xf>
    <xf numFmtId="178" fontId="51" fillId="21" borderId="87" xfId="0" applyNumberFormat="1" applyFont="1" applyFill="1" applyBorder="1" applyAlignment="1" applyProtection="1">
      <alignment horizontal="center" vertical="center"/>
      <protection locked="0"/>
    </xf>
    <xf numFmtId="178" fontId="51" fillId="21" borderId="88" xfId="0" applyNumberFormat="1" applyFont="1" applyFill="1" applyBorder="1" applyAlignment="1" applyProtection="1">
      <alignment horizontal="center" vertical="center"/>
      <protection locked="0"/>
    </xf>
    <xf numFmtId="178" fontId="51" fillId="20" borderId="86" xfId="0" applyNumberFormat="1" applyFont="1" applyFill="1" applyBorder="1" applyAlignment="1" applyProtection="1">
      <alignment horizontal="center" vertical="center"/>
      <protection locked="0"/>
    </xf>
    <xf numFmtId="178" fontId="51" fillId="20" borderId="87" xfId="0" applyNumberFormat="1" applyFont="1" applyFill="1" applyBorder="1" applyAlignment="1" applyProtection="1">
      <alignment horizontal="center" vertical="center"/>
      <protection locked="0"/>
    </xf>
    <xf numFmtId="178" fontId="51" fillId="20" borderId="88" xfId="0" applyNumberFormat="1" applyFont="1" applyFill="1" applyBorder="1" applyAlignment="1" applyProtection="1">
      <alignment horizontal="center" vertical="center"/>
      <protection locked="0"/>
    </xf>
    <xf numFmtId="178" fontId="51" fillId="19" borderId="86" xfId="0" applyNumberFormat="1" applyFont="1" applyFill="1" applyBorder="1" applyAlignment="1" applyProtection="1">
      <alignment horizontal="center" vertical="center"/>
      <protection locked="0"/>
    </xf>
    <xf numFmtId="178" fontId="51" fillId="19" borderId="87" xfId="0" applyNumberFormat="1" applyFont="1" applyFill="1" applyBorder="1" applyAlignment="1" applyProtection="1">
      <alignment horizontal="center" vertical="center"/>
      <protection locked="0"/>
    </xf>
    <xf numFmtId="178" fontId="51" fillId="19" borderId="88" xfId="0" applyNumberFormat="1" applyFont="1" applyFill="1" applyBorder="1" applyAlignment="1" applyProtection="1">
      <alignment horizontal="center" vertical="center"/>
      <protection locked="0"/>
    </xf>
    <xf numFmtId="178" fontId="51" fillId="18" borderId="86" xfId="0" applyNumberFormat="1" applyFont="1" applyFill="1" applyBorder="1" applyAlignment="1" applyProtection="1">
      <alignment horizontal="center" vertical="center"/>
      <protection locked="0"/>
    </xf>
    <xf numFmtId="178" fontId="51" fillId="18" borderId="87" xfId="0" applyNumberFormat="1" applyFont="1" applyFill="1" applyBorder="1" applyAlignment="1" applyProtection="1">
      <alignment horizontal="center" vertical="center"/>
      <protection locked="0"/>
    </xf>
    <xf numFmtId="178" fontId="51" fillId="18" borderId="88" xfId="0" applyNumberFormat="1" applyFont="1" applyFill="1" applyBorder="1" applyAlignment="1" applyProtection="1">
      <alignment horizontal="center" vertical="center"/>
      <protection locked="0"/>
    </xf>
    <xf numFmtId="178" fontId="51" fillId="17" borderId="86" xfId="0" applyNumberFormat="1" applyFont="1" applyFill="1" applyBorder="1" applyAlignment="1" applyProtection="1">
      <alignment horizontal="center" vertical="center"/>
      <protection locked="0"/>
    </xf>
    <xf numFmtId="178" fontId="51" fillId="17" borderId="87" xfId="0" applyNumberFormat="1" applyFont="1" applyFill="1" applyBorder="1" applyAlignment="1" applyProtection="1">
      <alignment horizontal="center" vertical="center"/>
      <protection locked="0"/>
    </xf>
    <xf numFmtId="178" fontId="51" fillId="17" borderId="88" xfId="0" applyNumberFormat="1" applyFont="1" applyFill="1" applyBorder="1" applyAlignment="1" applyProtection="1">
      <alignment horizontal="center" vertical="center"/>
      <protection locked="0"/>
    </xf>
    <xf numFmtId="178" fontId="34" fillId="10" borderId="4" xfId="0" applyNumberFormat="1" applyFont="1" applyFill="1" applyBorder="1" applyAlignment="1">
      <alignment horizontal="center" vertical="center" wrapText="1"/>
    </xf>
    <xf numFmtId="178" fontId="51" fillId="27" borderId="86" xfId="0" applyNumberFormat="1" applyFont="1" applyFill="1" applyBorder="1" applyAlignment="1" applyProtection="1">
      <alignment horizontal="center" vertical="center"/>
      <protection locked="0"/>
    </xf>
    <xf numFmtId="178" fontId="51" fillId="27" borderId="87" xfId="0" applyNumberFormat="1" applyFont="1" applyFill="1" applyBorder="1" applyAlignment="1" applyProtection="1">
      <alignment horizontal="center" vertical="center"/>
      <protection locked="0"/>
    </xf>
    <xf numFmtId="178" fontId="51" fillId="27" borderId="88" xfId="0" applyNumberFormat="1" applyFont="1" applyFill="1" applyBorder="1" applyAlignment="1" applyProtection="1">
      <alignment horizontal="center" vertical="center"/>
      <protection locked="0"/>
    </xf>
    <xf numFmtId="178" fontId="24" fillId="28" borderId="86" xfId="0" applyNumberFormat="1" applyFont="1" applyFill="1" applyBorder="1" applyAlignment="1" applyProtection="1">
      <alignment horizontal="center" vertical="center"/>
      <protection locked="0"/>
    </xf>
    <xf numFmtId="178" fontId="24" fillId="28" borderId="87" xfId="0" applyNumberFormat="1" applyFont="1" applyFill="1" applyBorder="1" applyAlignment="1" applyProtection="1">
      <alignment horizontal="center" vertical="center"/>
      <protection locked="0"/>
    </xf>
    <xf numFmtId="178" fontId="24" fillId="28" borderId="88" xfId="0" applyNumberFormat="1" applyFont="1" applyFill="1" applyBorder="1" applyAlignment="1" applyProtection="1">
      <alignment horizontal="center" vertical="center"/>
      <protection locked="0"/>
    </xf>
    <xf numFmtId="178" fontId="24" fillId="29" borderId="86" xfId="0" applyNumberFormat="1" applyFont="1" applyFill="1" applyBorder="1" applyAlignment="1" applyProtection="1">
      <alignment horizontal="center" vertical="center"/>
      <protection locked="0"/>
    </xf>
    <xf numFmtId="178" fontId="24" fillId="29" borderId="87" xfId="0" applyNumberFormat="1" applyFont="1" applyFill="1" applyBorder="1" applyAlignment="1" applyProtection="1">
      <alignment horizontal="center" vertical="center"/>
      <protection locked="0"/>
    </xf>
    <xf numFmtId="178" fontId="24" fillId="29" borderId="88" xfId="0" applyNumberFormat="1" applyFont="1" applyFill="1" applyBorder="1" applyAlignment="1" applyProtection="1">
      <alignment horizontal="center" vertical="center"/>
      <protection locked="0"/>
    </xf>
    <xf numFmtId="178" fontId="34" fillId="10" borderId="50" xfId="0" applyNumberFormat="1" applyFont="1" applyFill="1" applyBorder="1" applyAlignment="1">
      <alignment horizontal="center" vertical="center" wrapText="1"/>
    </xf>
    <xf numFmtId="0" fontId="26" fillId="10" borderId="89" xfId="747" applyFont="1" applyFill="1" applyBorder="1" applyAlignment="1">
      <alignment horizontal="center"/>
    </xf>
    <xf numFmtId="0" fontId="26" fillId="10" borderId="90" xfId="747" applyFont="1" applyFill="1" applyBorder="1" applyAlignment="1">
      <alignment horizontal="center"/>
    </xf>
    <xf numFmtId="0" fontId="26" fillId="58" borderId="44" xfId="747" applyFont="1" applyFill="1" applyBorder="1" applyAlignment="1">
      <alignment horizontal="center"/>
    </xf>
    <xf numFmtId="0" fontId="26" fillId="58" borderId="43" xfId="747" applyFont="1" applyFill="1" applyBorder="1" applyAlignment="1">
      <alignment horizontal="center"/>
    </xf>
    <xf numFmtId="0" fontId="45" fillId="57" borderId="43" xfId="747" applyFont="1" applyFill="1" applyBorder="1" applyAlignment="1">
      <alignment horizontal="center"/>
    </xf>
    <xf numFmtId="0" fontId="26" fillId="58" borderId="0" xfId="768" applyFont="1" applyFill="1" applyAlignment="1">
      <alignment horizontal="center" vertical="center"/>
    </xf>
    <xf numFmtId="0" fontId="45" fillId="57" borderId="0" xfId="768" applyFont="1" applyFill="1" applyAlignment="1">
      <alignment horizontal="center" vertical="center"/>
    </xf>
    <xf numFmtId="0" fontId="38" fillId="12" borderId="3" xfId="0" applyFont="1" applyFill="1" applyBorder="1" applyAlignment="1">
      <alignment horizontal="center" vertical="center"/>
    </xf>
    <xf numFmtId="0" fontId="38" fillId="12" borderId="16" xfId="0" applyFont="1" applyFill="1" applyBorder="1" applyAlignment="1">
      <alignment horizontal="center" vertical="center"/>
    </xf>
    <xf numFmtId="0" fontId="38" fillId="12" borderId="22" xfId="0" applyFont="1" applyFill="1" applyBorder="1" applyAlignment="1">
      <alignment horizontal="center" vertical="center"/>
    </xf>
    <xf numFmtId="0" fontId="38" fillId="12" borderId="3" xfId="0" applyFont="1" applyFill="1" applyBorder="1" applyAlignment="1">
      <alignment horizontal="center"/>
    </xf>
    <xf numFmtId="0" fontId="38" fillId="12" borderId="16" xfId="0" applyFont="1" applyFill="1" applyBorder="1" applyAlignment="1">
      <alignment horizontal="center"/>
    </xf>
    <xf numFmtId="0" fontId="38" fillId="12" borderId="22" xfId="0" applyFont="1" applyFill="1" applyBorder="1" applyAlignment="1">
      <alignment horizontal="center"/>
    </xf>
    <xf numFmtId="169" fontId="26" fillId="10" borderId="0" xfId="0" applyNumberFormat="1" applyFont="1" applyFill="1" applyBorder="1" applyAlignment="1" applyProtection="1">
      <alignment horizontal="center"/>
      <protection locked="0"/>
    </xf>
    <xf numFmtId="169" fontId="45" fillId="56" borderId="0" xfId="0" applyNumberFormat="1" applyFont="1" applyFill="1" applyBorder="1" applyAlignment="1" applyProtection="1">
      <alignment horizontal="center"/>
      <protection locked="0"/>
    </xf>
    <xf numFmtId="169" fontId="45" fillId="54" borderId="0" xfId="0" applyNumberFormat="1" applyFont="1" applyFill="1" applyBorder="1" applyAlignment="1" applyProtection="1">
      <alignment horizontal="center"/>
      <protection locked="0"/>
    </xf>
    <xf numFmtId="169" fontId="45" fillId="19" borderId="0" xfId="0" applyNumberFormat="1" applyFont="1" applyFill="1" applyBorder="1" applyAlignment="1" applyProtection="1">
      <alignment horizontal="center"/>
      <protection locked="0"/>
    </xf>
    <xf numFmtId="169" fontId="45" fillId="17" borderId="0" xfId="0" applyNumberFormat="1" applyFont="1" applyFill="1" applyBorder="1" applyAlignment="1" applyProtection="1">
      <alignment horizontal="center"/>
      <protection locked="0"/>
    </xf>
    <xf numFmtId="169" fontId="45" fillId="55" borderId="0" xfId="0" applyNumberFormat="1" applyFont="1" applyFill="1" applyBorder="1" applyAlignment="1" applyProtection="1">
      <alignment horizontal="center"/>
      <protection locked="0"/>
    </xf>
    <xf numFmtId="169" fontId="38" fillId="10" borderId="0" xfId="0" applyNumberFormat="1" applyFont="1" applyFill="1" applyBorder="1" applyAlignment="1" applyProtection="1">
      <alignment horizontal="center"/>
      <protection locked="0"/>
    </xf>
    <xf numFmtId="0" fontId="34" fillId="0" borderId="0" xfId="0" applyFont="1" applyFill="1" applyBorder="1" applyAlignment="1">
      <alignment horizontal="center"/>
    </xf>
    <xf numFmtId="0" fontId="34" fillId="10" borderId="0" xfId="0" applyFont="1" applyFill="1" applyBorder="1" applyAlignment="1" applyProtection="1">
      <alignment horizontal="center" vertical="center" wrapText="1"/>
      <protection locked="0"/>
    </xf>
    <xf numFmtId="0" fontId="34" fillId="10" borderId="0" xfId="0" applyFont="1" applyFill="1" applyBorder="1" applyAlignment="1">
      <alignment horizontal="center" vertical="center" wrapText="1"/>
    </xf>
    <xf numFmtId="178" fontId="58" fillId="51" borderId="0" xfId="0" applyNumberFormat="1" applyFont="1" applyFill="1" applyBorder="1" applyAlignment="1">
      <alignment horizontal="center" vertical="center" wrapText="1"/>
    </xf>
    <xf numFmtId="0" fontId="31" fillId="42" borderId="46" xfId="0" applyFont="1" applyFill="1" applyBorder="1" applyAlignment="1">
      <alignment horizontal="center"/>
    </xf>
    <xf numFmtId="0" fontId="31" fillId="42" borderId="48" xfId="0" applyFont="1" applyFill="1" applyBorder="1" applyAlignment="1">
      <alignment horizontal="center"/>
    </xf>
    <xf numFmtId="169" fontId="26" fillId="29" borderId="47" xfId="0" applyNumberFormat="1" applyFont="1" applyFill="1" applyBorder="1" applyAlignment="1" applyProtection="1">
      <alignment horizontal="center"/>
      <protection locked="0"/>
    </xf>
    <xf numFmtId="169" fontId="45" fillId="27" borderId="0" xfId="0" applyNumberFormat="1" applyFont="1" applyFill="1" applyBorder="1" applyAlignment="1" applyProtection="1">
      <alignment horizontal="center"/>
      <protection locked="0"/>
    </xf>
    <xf numFmtId="169" fontId="45" fillId="52" borderId="0" xfId="0" applyNumberFormat="1" applyFont="1" applyFill="1" applyBorder="1" applyAlignment="1" applyProtection="1">
      <alignment horizontal="center"/>
      <protection locked="0"/>
    </xf>
    <xf numFmtId="169" fontId="45" fillId="25" borderId="0" xfId="0" applyNumberFormat="1" applyFont="1" applyFill="1" applyBorder="1" applyAlignment="1" applyProtection="1">
      <alignment horizontal="center"/>
      <protection locked="0"/>
    </xf>
    <xf numFmtId="169" fontId="26" fillId="53" borderId="0" xfId="0" applyNumberFormat="1" applyFont="1" applyFill="1" applyBorder="1" applyAlignment="1" applyProtection="1">
      <alignment horizontal="center"/>
      <protection locked="0"/>
    </xf>
    <xf numFmtId="0" fontId="26" fillId="10" borderId="30" xfId="0" applyFont="1" applyFill="1" applyBorder="1" applyAlignment="1">
      <alignment horizontal="center"/>
    </xf>
    <xf numFmtId="0" fontId="34" fillId="10" borderId="3" xfId="747" applyFont="1" applyFill="1" applyBorder="1" applyAlignment="1">
      <alignment horizontal="center"/>
    </xf>
    <xf numFmtId="0" fontId="34" fillId="10" borderId="22" xfId="747" applyFont="1" applyFill="1" applyBorder="1" applyAlignment="1">
      <alignment horizontal="center"/>
    </xf>
    <xf numFmtId="0" fontId="34" fillId="10" borderId="1" xfId="747" applyFont="1" applyFill="1" applyBorder="1" applyAlignment="1">
      <alignment horizontal="center"/>
    </xf>
  </cellXfs>
  <cellStyles count="769">
    <cellStyle name="Bad" xfId="742" builtinId="27"/>
    <cellStyle name="Calculation" xfId="2" builtinId="22"/>
    <cellStyle name="Check Cell" xfId="82" builtinId="23"/>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4" builtinId="9" hidden="1"/>
    <cellStyle name="Followed Hyperlink" xfId="746"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3" builtinId="8" hidden="1"/>
    <cellStyle name="Hyperlink" xfId="745" builtinId="8" hidden="1"/>
    <cellStyle name="Hyperlink" xfId="750" builtinId="8"/>
    <cellStyle name="Input" xfId="1" builtinId="20"/>
    <cellStyle name="Linked Cell" xfId="81" builtinId="24"/>
    <cellStyle name="Normal" xfId="0" builtinId="0"/>
    <cellStyle name="Normal 2" xfId="747" xr:uid="{00000000-0005-0000-0000-0000F8020000}"/>
    <cellStyle name="Normal 2 2" xfId="751" xr:uid="{00000000-0005-0000-0000-0000F9020000}"/>
    <cellStyle name="Normal 3" xfId="768" xr:uid="{00000000-0005-0000-0000-0000FA020000}"/>
    <cellStyle name="Normal_Intermediate entries" xfId="263" xr:uid="{00000000-0005-0000-0000-0000FB020000}"/>
    <cellStyle name="Note 2" xfId="749" xr:uid="{00000000-0005-0000-0000-0000FC020000}"/>
    <cellStyle name="Output" xfId="80" builtinId="21"/>
    <cellStyle name="Percent" xfId="79" builtinId="5"/>
    <cellStyle name="Percent 2" xfId="748" xr:uid="{00000000-0005-0000-0000-0000FF020000}"/>
    <cellStyle name="Title 2" xfId="752" xr:uid="{00000000-0005-0000-0000-000000030000}"/>
  </cellStyles>
  <dxfs count="45">
    <dxf>
      <fill>
        <patternFill>
          <bgColor theme="0"/>
        </patternFill>
      </fill>
    </dxf>
    <dxf>
      <fill>
        <patternFill patternType="solid">
          <bgColor theme="0"/>
        </patternFill>
      </fill>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rgb="FF006100"/>
      </font>
      <fill>
        <patternFill>
          <bgColor rgb="FFC6EFCE"/>
        </patternFill>
      </fill>
    </dxf>
  </dxfs>
  <tableStyles count="0" defaultTableStyle="TableStyleMedium2" defaultPivotStyle="PivotStyleLight16"/>
  <colors>
    <mruColors>
      <color rgb="FFD89B19"/>
      <color rgb="FFF0E119"/>
      <color rgb="FF8B28B3"/>
      <color rgb="FF38502D"/>
      <color rgb="FF5B3E0E"/>
      <color rgb="FF5B11A2"/>
      <color rgb="FF13416D"/>
      <color rgb="FFD7D03E"/>
      <color rgb="FFAA1B13"/>
      <color rgb="FFC827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pivotCacheDefinition" Target="pivotCache/pivotCacheDefinition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pivotCacheDefinition" Target="pivotCache/pivotCacheDefinition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12950600801103E-2"/>
          <c:y val="0.133333333333333"/>
          <c:w val="0.93057409879839803"/>
          <c:h val="0.72222222222222199"/>
        </c:manualLayout>
      </c:layout>
      <c:barChart>
        <c:barDir val="bar"/>
        <c:grouping val="stacked"/>
        <c:varyColors val="0"/>
        <c:ser>
          <c:idx val="0"/>
          <c:order val="0"/>
          <c:spPr>
            <a:solidFill>
              <a:schemeClr val="tx1"/>
            </a:solidFill>
            <a:ln>
              <a:noFill/>
            </a:ln>
            <a:effectLst/>
          </c:spPr>
          <c:invertIfNegative val="0"/>
          <c:cat>
            <c:strRef>
              <c:f>'Volume Summary'!$B$10:$B$13</c:f>
              <c:strCache>
                <c:ptCount val="4"/>
                <c:pt idx="0">
                  <c:v>Freshwater</c:v>
                </c:pt>
                <c:pt idx="1">
                  <c:v>Brackish Water</c:v>
                </c:pt>
                <c:pt idx="2">
                  <c:v>Saline</c:v>
                </c:pt>
                <c:pt idx="3">
                  <c:v>Not RO Treatable</c:v>
                </c:pt>
              </c:strCache>
            </c:strRef>
          </c:cat>
          <c:val>
            <c:numRef>
              <c:f>'Volume Summary'!$C$10:$C$13</c:f>
              <c:numCache>
                <c:formatCode>0.0E+00</c:formatCode>
                <c:ptCount val="4"/>
                <c:pt idx="0">
                  <c:v>13254133424</c:v>
                </c:pt>
                <c:pt idx="1">
                  <c:v>487079207</c:v>
                </c:pt>
                <c:pt idx="2">
                  <c:v>828463827</c:v>
                </c:pt>
                <c:pt idx="3">
                  <c:v>1817760839</c:v>
                </c:pt>
              </c:numCache>
            </c:numRef>
          </c:val>
          <c:extLst>
            <c:ext xmlns:c16="http://schemas.microsoft.com/office/drawing/2014/chart" uri="{C3380CC4-5D6E-409C-BE32-E72D297353CC}">
              <c16:uniqueId val="{00000000-AEAE-D344-AA08-78B038981734}"/>
            </c:ext>
          </c:extLst>
        </c:ser>
        <c:ser>
          <c:idx val="1"/>
          <c:order val="1"/>
          <c:spPr>
            <a:solidFill>
              <a:schemeClr val="bg1">
                <a:lumMod val="75000"/>
              </a:schemeClr>
            </a:solidFill>
            <a:ln>
              <a:noFill/>
            </a:ln>
            <a:effectLst/>
          </c:spPr>
          <c:invertIfNegative val="0"/>
          <c:cat>
            <c:strRef>
              <c:f>'Volume Summary'!$B$10:$B$13</c:f>
              <c:strCache>
                <c:ptCount val="4"/>
                <c:pt idx="0">
                  <c:v>Freshwater</c:v>
                </c:pt>
                <c:pt idx="1">
                  <c:v>Brackish Water</c:v>
                </c:pt>
                <c:pt idx="2">
                  <c:v>Saline</c:v>
                </c:pt>
                <c:pt idx="3">
                  <c:v>Not RO Treatable</c:v>
                </c:pt>
              </c:strCache>
            </c:strRef>
          </c:cat>
          <c:val>
            <c:numRef>
              <c:f>'Volume Summary'!$E$10:$E$13</c:f>
              <c:numCache>
                <c:formatCode>0.0E+00</c:formatCode>
                <c:ptCount val="4"/>
                <c:pt idx="0">
                  <c:v>166547506171</c:v>
                </c:pt>
                <c:pt idx="1">
                  <c:v>14212464446</c:v>
                </c:pt>
                <c:pt idx="2">
                  <c:v>20980186646</c:v>
                </c:pt>
                <c:pt idx="3">
                  <c:v>1483410084</c:v>
                </c:pt>
              </c:numCache>
            </c:numRef>
          </c:val>
          <c:extLst>
            <c:ext xmlns:c16="http://schemas.microsoft.com/office/drawing/2014/chart" uri="{C3380CC4-5D6E-409C-BE32-E72D297353CC}">
              <c16:uniqueId val="{00000001-AEAE-D344-AA08-78B038981734}"/>
            </c:ext>
          </c:extLst>
        </c:ser>
        <c:dLbls>
          <c:showLegendKey val="0"/>
          <c:showVal val="0"/>
          <c:showCatName val="0"/>
          <c:showSerName val="0"/>
          <c:showPercent val="0"/>
          <c:showBubbleSize val="0"/>
        </c:dLbls>
        <c:gapWidth val="9"/>
        <c:overlap val="100"/>
        <c:axId val="-32066064"/>
        <c:axId val="-32063744"/>
      </c:barChart>
      <c:catAx>
        <c:axId val="-32066064"/>
        <c:scaling>
          <c:orientation val="maxMin"/>
        </c:scaling>
        <c:delete val="1"/>
        <c:axPos val="l"/>
        <c:numFmt formatCode="General" sourceLinked="1"/>
        <c:majorTickMark val="none"/>
        <c:minorTickMark val="none"/>
        <c:tickLblPos val="nextTo"/>
        <c:crossAx val="-32063744"/>
        <c:crosses val="autoZero"/>
        <c:auto val="1"/>
        <c:lblAlgn val="ctr"/>
        <c:lblOffset val="100"/>
        <c:noMultiLvlLbl val="0"/>
      </c:catAx>
      <c:valAx>
        <c:axId val="-32063744"/>
        <c:scaling>
          <c:orientation val="minMax"/>
          <c:max val="250000000000"/>
        </c:scaling>
        <c:delete val="1"/>
        <c:axPos val="t"/>
        <c:numFmt formatCode="0.0E+00" sourceLinked="1"/>
        <c:majorTickMark val="out"/>
        <c:minorTickMark val="none"/>
        <c:tickLblPos val="nextTo"/>
        <c:crossAx val="-320660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Oil!$B$15:$B$32</c:f>
              <c:strCache>
                <c:ptCount val="18"/>
                <c:pt idx="0">
                  <c:v>Drilling</c:v>
                </c:pt>
                <c:pt idx="1">
                  <c:v>Hydraulic fracturing</c:v>
                </c:pt>
                <c:pt idx="2">
                  <c:v>Water and steam flooding</c:v>
                </c:pt>
                <c:pt idx="3">
                  <c:v>Produced water</c:v>
                </c:pt>
                <c:pt idx="6">
                  <c:v>Hydrostatic pipeline tests</c:v>
                </c:pt>
                <c:pt idx="7">
                  <c:v>Salt cavern storage</c:v>
                </c:pt>
                <c:pt idx="8">
                  <c:v>Tanker ship ballast</c:v>
                </c:pt>
                <c:pt idx="11">
                  <c:v>Refining</c:v>
                </c:pt>
                <c:pt idx="12">
                  <c:v>Oil-fired power plant cooling</c:v>
                </c:pt>
                <c:pt idx="13">
                  <c:v>Non-steam use</c:v>
                </c:pt>
                <c:pt idx="14">
                  <c:v>Ship cooling</c:v>
                </c:pt>
                <c:pt idx="17">
                  <c:v>Combustion</c:v>
                </c:pt>
              </c:strCache>
            </c:strRef>
          </c:cat>
          <c:val>
            <c:numRef>
              <c:f>Oil!$O$15:$O$32</c:f>
              <c:numCache>
                <c:formatCode>0.0E+00</c:formatCode>
                <c:ptCount val="18"/>
                <c:pt idx="0">
                  <c:v>14753715.782047139</c:v>
                </c:pt>
                <c:pt idx="1">
                  <c:v>116972307.69230768</c:v>
                </c:pt>
                <c:pt idx="2">
                  <c:v>133354781.33768377</c:v>
                </c:pt>
                <c:pt idx="3">
                  <c:v>4474017354.1826744</c:v>
                </c:pt>
                <c:pt idx="6">
                  <c:v>5905239.5999999996</c:v>
                </c:pt>
                <c:pt idx="7">
                  <c:v>539390.1489957606</c:v>
                </c:pt>
                <c:pt idx="8">
                  <c:v>121000000</c:v>
                </c:pt>
                <c:pt idx="11">
                  <c:v>660071712.45008922</c:v>
                </c:pt>
                <c:pt idx="12">
                  <c:v>2611598618.2772713</c:v>
                </c:pt>
                <c:pt idx="17">
                  <c:v>-1106582190.2973397</c:v>
                </c:pt>
              </c:numCache>
            </c:numRef>
          </c:val>
          <c:extLst>
            <c:ext xmlns:c16="http://schemas.microsoft.com/office/drawing/2014/chart" uri="{C3380CC4-5D6E-409C-BE32-E72D297353CC}">
              <c16:uniqueId val="{00000000-C52B-9947-B7EC-D367323B2999}"/>
            </c:ext>
          </c:extLst>
        </c:ser>
        <c:dLbls>
          <c:showLegendKey val="0"/>
          <c:showVal val="0"/>
          <c:showCatName val="0"/>
          <c:showSerName val="0"/>
          <c:showPercent val="0"/>
          <c:showBubbleSize val="0"/>
        </c:dLbls>
        <c:gapWidth val="0"/>
        <c:axId val="-29886864"/>
        <c:axId val="-29884544"/>
      </c:barChart>
      <c:catAx>
        <c:axId val="-2988686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29884544"/>
        <c:crosses val="autoZero"/>
        <c:auto val="1"/>
        <c:lblAlgn val="ctr"/>
        <c:lblOffset val="0"/>
        <c:noMultiLvlLbl val="0"/>
      </c:catAx>
      <c:valAx>
        <c:axId val="-29884544"/>
        <c:scaling>
          <c:orientation val="minMax"/>
          <c:max val="5000000000"/>
          <c:min val="-2000000000"/>
        </c:scaling>
        <c:delete val="0"/>
        <c:axPos val="b"/>
        <c:numFmt formatCode="0.0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29886864"/>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'Solid Biomass and RDF'!$B$15:$B$29</c:f>
              <c:strCache>
                <c:ptCount val="15"/>
                <c:pt idx="0">
                  <c:v>Irrigation, bagasse</c:v>
                </c:pt>
                <c:pt idx="1">
                  <c:v>Irrigation, rice</c:v>
                </c:pt>
                <c:pt idx="2">
                  <c:v>Irrigation, corn</c:v>
                </c:pt>
                <c:pt idx="3">
                  <c:v>Irrigation, sunflowers</c:v>
                </c:pt>
                <c:pt idx="4">
                  <c:v>Irrigation, cotton</c:v>
                </c:pt>
                <c:pt idx="7">
                  <c:v>Power plant cooling</c:v>
                </c:pt>
                <c:pt idx="10">
                  <c:v>Ash handling</c:v>
                </c:pt>
                <c:pt idx="13">
                  <c:v>Solid biomass combustion</c:v>
                </c:pt>
                <c:pt idx="14">
                  <c:v>MSW combustion</c:v>
                </c:pt>
              </c:strCache>
            </c:strRef>
          </c:cat>
          <c:val>
            <c:numRef>
              <c:f>'Solid Biomass and RDF'!$O$15:$O$29</c:f>
              <c:numCache>
                <c:formatCode>0.0E+00</c:formatCode>
                <c:ptCount val="15"/>
                <c:pt idx="0">
                  <c:v>55260000</c:v>
                </c:pt>
                <c:pt idx="1">
                  <c:v>12180000</c:v>
                </c:pt>
                <c:pt idx="2">
                  <c:v>2470000.0000000005</c:v>
                </c:pt>
                <c:pt idx="3">
                  <c:v>3040000</c:v>
                </c:pt>
                <c:pt idx="4">
                  <c:v>640000</c:v>
                </c:pt>
                <c:pt idx="7">
                  <c:v>4288775114.9536424</c:v>
                </c:pt>
                <c:pt idx="10">
                  <c:v>2435783.4050860796</c:v>
                </c:pt>
                <c:pt idx="13">
                  <c:v>-54023385.780700006</c:v>
                </c:pt>
                <c:pt idx="14">
                  <c:v>-18349700.576324996</c:v>
                </c:pt>
              </c:numCache>
            </c:numRef>
          </c:val>
          <c:extLst>
            <c:ext xmlns:c16="http://schemas.microsoft.com/office/drawing/2014/chart" uri="{C3380CC4-5D6E-409C-BE32-E72D297353CC}">
              <c16:uniqueId val="{00000000-D67C-144B-9F61-C89831B81606}"/>
            </c:ext>
          </c:extLst>
        </c:ser>
        <c:dLbls>
          <c:showLegendKey val="0"/>
          <c:showVal val="0"/>
          <c:showCatName val="0"/>
          <c:showSerName val="0"/>
          <c:showPercent val="0"/>
          <c:showBubbleSize val="0"/>
        </c:dLbls>
        <c:gapWidth val="0"/>
        <c:axId val="39109152"/>
        <c:axId val="39126416"/>
      </c:barChart>
      <c:catAx>
        <c:axId val="3910915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9126416"/>
        <c:crosses val="autoZero"/>
        <c:auto val="1"/>
        <c:lblAlgn val="ctr"/>
        <c:lblOffset val="0"/>
        <c:noMultiLvlLbl val="0"/>
      </c:catAx>
      <c:valAx>
        <c:axId val="39126416"/>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9109152"/>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'Solid Biomass and RDF'!$K$13</c:f>
              <c:numCache>
                <c:formatCode>0%</c:formatCode>
                <c:ptCount val="1"/>
                <c:pt idx="0">
                  <c:v>0.28113790905841102</c:v>
                </c:pt>
              </c:numCache>
            </c:numRef>
          </c:val>
          <c:extLst>
            <c:ext xmlns:c16="http://schemas.microsoft.com/office/drawing/2014/chart" uri="{C3380CC4-5D6E-409C-BE32-E72D297353CC}">
              <c16:uniqueId val="{00000000-C409-164A-8660-666EB26017F7}"/>
            </c:ext>
          </c:extLst>
        </c:ser>
        <c:ser>
          <c:idx val="0"/>
          <c:order val="1"/>
          <c:tx>
            <c:v>Surface</c:v>
          </c:tx>
          <c:spPr>
            <a:solidFill>
              <a:srgbClr val="335C89"/>
            </a:solidFill>
            <a:ln w="19050">
              <a:solidFill>
                <a:schemeClr val="lt1"/>
              </a:solidFill>
            </a:ln>
            <a:effectLst/>
          </c:spPr>
          <c:invertIfNegative val="0"/>
          <c:val>
            <c:numRef>
              <c:f>'Solid Biomass and RDF'!$L$13</c:f>
              <c:numCache>
                <c:formatCode>0%</c:formatCode>
                <c:ptCount val="1"/>
                <c:pt idx="0">
                  <c:v>0.6973224981143884</c:v>
                </c:pt>
              </c:numCache>
            </c:numRef>
          </c:val>
          <c:extLst>
            <c:ext xmlns:c16="http://schemas.microsoft.com/office/drawing/2014/chart" uri="{C3380CC4-5D6E-409C-BE32-E72D297353CC}">
              <c16:uniqueId val="{00000001-C409-164A-8660-666EB26017F7}"/>
            </c:ext>
          </c:extLst>
        </c:ser>
        <c:ser>
          <c:idx val="2"/>
          <c:order val="2"/>
          <c:tx>
            <c:v>Reuse</c:v>
          </c:tx>
          <c:spPr>
            <a:solidFill>
              <a:srgbClr val="19416C"/>
            </a:solidFill>
            <a:ln w="19050">
              <a:solidFill>
                <a:schemeClr val="lt1"/>
              </a:solidFill>
            </a:ln>
            <a:effectLst/>
          </c:spPr>
          <c:invertIfNegative val="0"/>
          <c:val>
            <c:numRef>
              <c:f>'Solid Biomass and RDF'!$M$13</c:f>
              <c:numCache>
                <c:formatCode>0%</c:formatCode>
                <c:ptCount val="1"/>
                <c:pt idx="0">
                  <c:v>2.1539592827200679E-2</c:v>
                </c:pt>
              </c:numCache>
            </c:numRef>
          </c:val>
          <c:extLst>
            <c:ext xmlns:c16="http://schemas.microsoft.com/office/drawing/2014/chart" uri="{C3380CC4-5D6E-409C-BE32-E72D297353CC}">
              <c16:uniqueId val="{00000002-C409-164A-8660-666EB26017F7}"/>
            </c:ext>
          </c:extLst>
        </c:ser>
        <c:dLbls>
          <c:showLegendKey val="0"/>
          <c:showVal val="0"/>
          <c:showCatName val="0"/>
          <c:showSerName val="0"/>
          <c:showPercent val="0"/>
          <c:showBubbleSize val="0"/>
        </c:dLbls>
        <c:gapWidth val="0"/>
        <c:overlap val="100"/>
        <c:axId val="-30200224"/>
        <c:axId val="-30202272"/>
      </c:barChart>
      <c:valAx>
        <c:axId val="-30202272"/>
        <c:scaling>
          <c:orientation val="minMax"/>
        </c:scaling>
        <c:delete val="1"/>
        <c:axPos val="b"/>
        <c:numFmt formatCode="0%" sourceLinked="1"/>
        <c:majorTickMark val="out"/>
        <c:minorTickMark val="none"/>
        <c:tickLblPos val="nextTo"/>
        <c:crossAx val="-30200224"/>
        <c:crosses val="autoZero"/>
        <c:crossBetween val="between"/>
      </c:valAx>
      <c:catAx>
        <c:axId val="-30200224"/>
        <c:scaling>
          <c:orientation val="minMax"/>
        </c:scaling>
        <c:delete val="1"/>
        <c:axPos val="l"/>
        <c:majorTickMark val="out"/>
        <c:minorTickMark val="none"/>
        <c:tickLblPos val="nextTo"/>
        <c:crossAx val="-3020227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3104-4A40-9905-CA89454E30BA}"/>
              </c:ext>
            </c:extLst>
          </c:dPt>
          <c:val>
            <c:numRef>
              <c:f>'Solid Biomass and RDF'!$F$13</c:f>
              <c:numCache>
                <c:formatCode>0%</c:formatCode>
                <c:ptCount val="1"/>
                <c:pt idx="0">
                  <c:v>0.99553425833846243</c:v>
                </c:pt>
              </c:numCache>
            </c:numRef>
          </c:val>
          <c:extLst>
            <c:ext xmlns:c16="http://schemas.microsoft.com/office/drawing/2014/chart" uri="{C3380CC4-5D6E-409C-BE32-E72D297353CC}">
              <c16:uniqueId val="{00000002-3104-4A40-9905-CA89454E30BA}"/>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3104-4A40-9905-CA89454E30BA}"/>
              </c:ext>
            </c:extLst>
          </c:dPt>
          <c:val>
            <c:numRef>
              <c:f>'Solid Biomass and RDF'!$G$13</c:f>
              <c:numCache>
                <c:formatCode>0%</c:formatCode>
                <c:ptCount val="1"/>
                <c:pt idx="0">
                  <c:v>1.9728412183666697E-3</c:v>
                </c:pt>
              </c:numCache>
            </c:numRef>
          </c:val>
          <c:extLst>
            <c:ext xmlns:c16="http://schemas.microsoft.com/office/drawing/2014/chart" uri="{C3380CC4-5D6E-409C-BE32-E72D297353CC}">
              <c16:uniqueId val="{00000005-3104-4A40-9905-CA89454E30BA}"/>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3104-4A40-9905-CA89454E30BA}"/>
              </c:ext>
            </c:extLst>
          </c:dPt>
          <c:val>
            <c:numRef>
              <c:f>'Solid Biomass and RDF'!$H$13</c:f>
              <c:numCache>
                <c:formatCode>0%</c:formatCode>
                <c:ptCount val="1"/>
                <c:pt idx="0">
                  <c:v>2.492900443170886E-3</c:v>
                </c:pt>
              </c:numCache>
            </c:numRef>
          </c:val>
          <c:extLst>
            <c:ext xmlns:c16="http://schemas.microsoft.com/office/drawing/2014/chart" uri="{C3380CC4-5D6E-409C-BE32-E72D297353CC}">
              <c16:uniqueId val="{00000008-3104-4A40-9905-CA89454E30BA}"/>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3104-4A40-9905-CA89454E30BA}"/>
              </c:ext>
            </c:extLst>
          </c:dPt>
          <c:val>
            <c:numRef>
              <c:f>'Solid Biomass and RDF'!$I$13</c:f>
              <c:numCache>
                <c:formatCode>0%</c:formatCode>
                <c:ptCount val="1"/>
                <c:pt idx="0">
                  <c:v>0</c:v>
                </c:pt>
              </c:numCache>
            </c:numRef>
          </c:val>
          <c:extLst>
            <c:ext xmlns:c16="http://schemas.microsoft.com/office/drawing/2014/chart" uri="{C3380CC4-5D6E-409C-BE32-E72D297353CC}">
              <c16:uniqueId val="{0000000B-3104-4A40-9905-CA89454E30BA}"/>
            </c:ext>
          </c:extLst>
        </c:ser>
        <c:dLbls>
          <c:showLegendKey val="0"/>
          <c:showVal val="0"/>
          <c:showCatName val="0"/>
          <c:showSerName val="0"/>
          <c:showPercent val="0"/>
          <c:showBubbleSize val="0"/>
        </c:dLbls>
        <c:gapWidth val="0"/>
        <c:overlap val="100"/>
        <c:axId val="-30136848"/>
        <c:axId val="-30165600"/>
      </c:barChart>
      <c:valAx>
        <c:axId val="-30165600"/>
        <c:scaling>
          <c:orientation val="minMax"/>
          <c:min val="0"/>
        </c:scaling>
        <c:delete val="1"/>
        <c:axPos val="b"/>
        <c:numFmt formatCode="0%" sourceLinked="1"/>
        <c:majorTickMark val="out"/>
        <c:minorTickMark val="none"/>
        <c:tickLblPos val="nextTo"/>
        <c:crossAx val="-30136848"/>
        <c:crosses val="autoZero"/>
        <c:crossBetween val="between"/>
      </c:valAx>
      <c:catAx>
        <c:axId val="-30136848"/>
        <c:scaling>
          <c:orientation val="minMax"/>
        </c:scaling>
        <c:delete val="1"/>
        <c:axPos val="l"/>
        <c:majorTickMark val="out"/>
        <c:minorTickMark val="none"/>
        <c:tickLblPos val="nextTo"/>
        <c:crossAx val="-301656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'Solid Biomass and RDF'!$W$13</c:f>
              <c:numCache>
                <c:formatCode>0%</c:formatCode>
                <c:ptCount val="1"/>
                <c:pt idx="0">
                  <c:v>1.6175329607396316E-2</c:v>
                </c:pt>
              </c:numCache>
            </c:numRef>
          </c:val>
          <c:extLst>
            <c:ext xmlns:c16="http://schemas.microsoft.com/office/drawing/2014/chart" uri="{C3380CC4-5D6E-409C-BE32-E72D297353CC}">
              <c16:uniqueId val="{00000000-738F-814A-9796-54910B5AF939}"/>
            </c:ext>
          </c:extLst>
        </c:ser>
        <c:ser>
          <c:idx val="0"/>
          <c:order val="1"/>
          <c:tx>
            <c:v>Surface</c:v>
          </c:tx>
          <c:spPr>
            <a:solidFill>
              <a:srgbClr val="335C89"/>
            </a:solidFill>
            <a:ln w="19050">
              <a:solidFill>
                <a:schemeClr val="lt1"/>
              </a:solidFill>
            </a:ln>
            <a:effectLst/>
          </c:spPr>
          <c:invertIfNegative val="0"/>
          <c:val>
            <c:numRef>
              <c:f>'Solid Biomass and RDF'!$X$13</c:f>
              <c:numCache>
                <c:formatCode>0%</c:formatCode>
                <c:ptCount val="1"/>
                <c:pt idx="0">
                  <c:v>0.960606589145239</c:v>
                </c:pt>
              </c:numCache>
            </c:numRef>
          </c:val>
          <c:extLst>
            <c:ext xmlns:c16="http://schemas.microsoft.com/office/drawing/2014/chart" uri="{C3380CC4-5D6E-409C-BE32-E72D297353CC}">
              <c16:uniqueId val="{00000001-738F-814A-9796-54910B5AF939}"/>
            </c:ext>
          </c:extLst>
        </c:ser>
        <c:ser>
          <c:idx val="2"/>
          <c:order val="2"/>
          <c:tx>
            <c:v>Reuse</c:v>
          </c:tx>
          <c:spPr>
            <a:solidFill>
              <a:srgbClr val="19416C"/>
            </a:solidFill>
            <a:ln w="19050">
              <a:solidFill>
                <a:schemeClr val="lt1"/>
              </a:solidFill>
            </a:ln>
            <a:effectLst/>
          </c:spPr>
          <c:invertIfNegative val="0"/>
          <c:val>
            <c:numRef>
              <c:f>'Solid Biomass and RDF'!$Y$13</c:f>
              <c:numCache>
                <c:formatCode>0%</c:formatCode>
                <c:ptCount val="1"/>
                <c:pt idx="0">
                  <c:v>2.3218081247364741E-2</c:v>
                </c:pt>
              </c:numCache>
            </c:numRef>
          </c:val>
          <c:extLst>
            <c:ext xmlns:c16="http://schemas.microsoft.com/office/drawing/2014/chart" uri="{C3380CC4-5D6E-409C-BE32-E72D297353CC}">
              <c16:uniqueId val="{00000002-738F-814A-9796-54910B5AF939}"/>
            </c:ext>
          </c:extLst>
        </c:ser>
        <c:dLbls>
          <c:showLegendKey val="0"/>
          <c:showVal val="0"/>
          <c:showCatName val="0"/>
          <c:showSerName val="0"/>
          <c:showPercent val="0"/>
          <c:showBubbleSize val="0"/>
        </c:dLbls>
        <c:gapWidth val="0"/>
        <c:overlap val="100"/>
        <c:axId val="41157984"/>
        <c:axId val="41155664"/>
      </c:barChart>
      <c:valAx>
        <c:axId val="41155664"/>
        <c:scaling>
          <c:orientation val="minMax"/>
          <c:min val="0"/>
        </c:scaling>
        <c:delete val="1"/>
        <c:axPos val="b"/>
        <c:numFmt formatCode="0%" sourceLinked="0"/>
        <c:majorTickMark val="out"/>
        <c:minorTickMark val="none"/>
        <c:tickLblPos val="nextTo"/>
        <c:crossAx val="41157984"/>
        <c:crosses val="autoZero"/>
        <c:crossBetween val="between"/>
      </c:valAx>
      <c:catAx>
        <c:axId val="41157984"/>
        <c:scaling>
          <c:orientation val="minMax"/>
        </c:scaling>
        <c:delete val="1"/>
        <c:axPos val="l"/>
        <c:majorTickMark val="out"/>
        <c:minorTickMark val="none"/>
        <c:tickLblPos val="nextTo"/>
        <c:crossAx val="4115566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'Solid Biomass and RDF'!$R$13</c:f>
              <c:numCache>
                <c:formatCode>0%</c:formatCode>
                <c:ptCount val="1"/>
                <c:pt idx="0">
                  <c:v>0.97254049614795623</c:v>
                </c:pt>
              </c:numCache>
            </c:numRef>
          </c:val>
          <c:extLst>
            <c:ext xmlns:c16="http://schemas.microsoft.com/office/drawing/2014/chart" uri="{C3380CC4-5D6E-409C-BE32-E72D297353CC}">
              <c16:uniqueId val="{00000000-4ECB-5F49-BF97-14759CEF344E}"/>
            </c:ext>
          </c:extLst>
        </c:ser>
        <c:ser>
          <c:idx val="1"/>
          <c:order val="1"/>
          <c:tx>
            <c:v>Brackish</c:v>
          </c:tx>
          <c:spPr>
            <a:solidFill>
              <a:srgbClr val="98D862"/>
            </a:solidFill>
            <a:ln w="19050">
              <a:solidFill>
                <a:schemeClr val="lt1"/>
              </a:solidFill>
            </a:ln>
            <a:effectLst/>
          </c:spPr>
          <c:invertIfNegative val="0"/>
          <c:val>
            <c:numRef>
              <c:f>'Solid Biomass and RDF'!$S$13</c:f>
              <c:numCache>
                <c:formatCode>0%</c:formatCode>
                <c:ptCount val="1"/>
                <c:pt idx="0">
                  <c:v>1.2529456157770907E-2</c:v>
                </c:pt>
              </c:numCache>
            </c:numRef>
          </c:val>
          <c:extLst>
            <c:ext xmlns:c16="http://schemas.microsoft.com/office/drawing/2014/chart" uri="{C3380CC4-5D6E-409C-BE32-E72D297353CC}">
              <c16:uniqueId val="{00000001-4ECB-5F49-BF97-14759CEF344E}"/>
            </c:ext>
          </c:extLst>
        </c:ser>
        <c:ser>
          <c:idx val="2"/>
          <c:order val="2"/>
          <c:tx>
            <c:v>Saline</c:v>
          </c:tx>
          <c:spPr>
            <a:solidFill>
              <a:srgbClr val="6EB739"/>
            </a:solidFill>
            <a:ln w="19050">
              <a:solidFill>
                <a:schemeClr val="lt1"/>
              </a:solidFill>
            </a:ln>
            <a:effectLst/>
          </c:spPr>
          <c:invertIfNegative val="0"/>
          <c:val>
            <c:numRef>
              <c:f>'Solid Biomass and RDF'!$T$13</c:f>
              <c:numCache>
                <c:formatCode>0%</c:formatCode>
                <c:ptCount val="1"/>
                <c:pt idx="0">
                  <c:v>1.4930047694272839E-2</c:v>
                </c:pt>
              </c:numCache>
            </c:numRef>
          </c:val>
          <c:extLst>
            <c:ext xmlns:c16="http://schemas.microsoft.com/office/drawing/2014/chart" uri="{C3380CC4-5D6E-409C-BE32-E72D297353CC}">
              <c16:uniqueId val="{00000002-4ECB-5F49-BF97-14759CEF344E}"/>
            </c:ext>
          </c:extLst>
        </c:ser>
        <c:ser>
          <c:idx val="3"/>
          <c:order val="3"/>
          <c:tx>
            <c:v>Not RO</c:v>
          </c:tx>
          <c:spPr>
            <a:solidFill>
              <a:srgbClr val="5A9D2C"/>
            </a:solidFill>
            <a:ln w="19050">
              <a:solidFill>
                <a:schemeClr val="lt1"/>
              </a:solidFill>
            </a:ln>
            <a:effectLst/>
          </c:spPr>
          <c:invertIfNegative val="0"/>
          <c:val>
            <c:numRef>
              <c:f>'Solid Biomass and RDF'!$U$13</c:f>
              <c:numCache>
                <c:formatCode>0%</c:formatCode>
                <c:ptCount val="1"/>
                <c:pt idx="0">
                  <c:v>0</c:v>
                </c:pt>
              </c:numCache>
            </c:numRef>
          </c:val>
          <c:extLst>
            <c:ext xmlns:c16="http://schemas.microsoft.com/office/drawing/2014/chart" uri="{C3380CC4-5D6E-409C-BE32-E72D297353CC}">
              <c16:uniqueId val="{00000003-4ECB-5F49-BF97-14759CEF344E}"/>
            </c:ext>
          </c:extLst>
        </c:ser>
        <c:dLbls>
          <c:showLegendKey val="0"/>
          <c:showVal val="0"/>
          <c:showCatName val="0"/>
          <c:showSerName val="0"/>
          <c:showPercent val="0"/>
          <c:showBubbleSize val="0"/>
        </c:dLbls>
        <c:gapWidth val="0"/>
        <c:overlap val="100"/>
        <c:axId val="68116288"/>
        <c:axId val="68113456"/>
      </c:barChart>
      <c:valAx>
        <c:axId val="68113456"/>
        <c:scaling>
          <c:orientation val="minMax"/>
          <c:min val="0"/>
        </c:scaling>
        <c:delete val="1"/>
        <c:axPos val="b"/>
        <c:numFmt formatCode="0%" sourceLinked="1"/>
        <c:majorTickMark val="out"/>
        <c:minorTickMark val="none"/>
        <c:tickLblPos val="nextTo"/>
        <c:crossAx val="68116288"/>
        <c:crosses val="autoZero"/>
        <c:crossBetween val="between"/>
      </c:valAx>
      <c:catAx>
        <c:axId val="68116288"/>
        <c:scaling>
          <c:orientation val="minMax"/>
        </c:scaling>
        <c:delete val="1"/>
        <c:axPos val="l"/>
        <c:majorTickMark val="out"/>
        <c:minorTickMark val="none"/>
        <c:tickLblPos val="nextTo"/>
        <c:crossAx val="6811345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Biogas!$B$15:$B$18</c:f>
              <c:strCache>
                <c:ptCount val="4"/>
                <c:pt idx="0">
                  <c:v>Power plant cooling</c:v>
                </c:pt>
                <c:pt idx="3">
                  <c:v>Biogas combustion</c:v>
                </c:pt>
              </c:strCache>
            </c:strRef>
          </c:cat>
          <c:val>
            <c:numRef>
              <c:f>Biogas!$C$15:$C$18</c:f>
              <c:numCache>
                <c:formatCode>0.0E+00</c:formatCode>
                <c:ptCount val="4"/>
                <c:pt idx="0">
                  <c:v>2778556.1422072342</c:v>
                </c:pt>
                <c:pt idx="3">
                  <c:v>-7709487.1939999983</c:v>
                </c:pt>
              </c:numCache>
            </c:numRef>
          </c:val>
          <c:extLst>
            <c:ext xmlns:c16="http://schemas.microsoft.com/office/drawing/2014/chart" uri="{C3380CC4-5D6E-409C-BE32-E72D297353CC}">
              <c16:uniqueId val="{00000000-FE99-A641-8317-5FEBABDD058F}"/>
            </c:ext>
          </c:extLst>
        </c:ser>
        <c:dLbls>
          <c:showLegendKey val="0"/>
          <c:showVal val="0"/>
          <c:showCatName val="0"/>
          <c:showSerName val="0"/>
          <c:showPercent val="0"/>
          <c:showBubbleSize val="0"/>
        </c:dLbls>
        <c:gapWidth val="0"/>
        <c:axId val="-69621056"/>
        <c:axId val="-69970064"/>
      </c:barChart>
      <c:catAx>
        <c:axId val="-6962105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970064"/>
        <c:crosses val="autoZero"/>
        <c:auto val="1"/>
        <c:lblAlgn val="ctr"/>
        <c:lblOffset val="0"/>
        <c:noMultiLvlLbl val="0"/>
      </c:catAx>
      <c:valAx>
        <c:axId val="-69970064"/>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621056"/>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Biogas!$B$15:$B$18</c:f>
              <c:strCache>
                <c:ptCount val="4"/>
                <c:pt idx="0">
                  <c:v>Power plant cooling</c:v>
                </c:pt>
                <c:pt idx="3">
                  <c:v>Biogas combustion</c:v>
                </c:pt>
              </c:strCache>
            </c:strRef>
          </c:cat>
          <c:val>
            <c:numRef>
              <c:f>Biogas!$O$15:$O$18</c:f>
              <c:numCache>
                <c:formatCode>0.0E+00</c:formatCode>
                <c:ptCount val="4"/>
                <c:pt idx="0">
                  <c:v>103521134.65952097</c:v>
                </c:pt>
                <c:pt idx="3">
                  <c:v>-7709487.1939999983</c:v>
                </c:pt>
              </c:numCache>
            </c:numRef>
          </c:val>
          <c:extLst>
            <c:ext xmlns:c16="http://schemas.microsoft.com/office/drawing/2014/chart" uri="{C3380CC4-5D6E-409C-BE32-E72D297353CC}">
              <c16:uniqueId val="{00000000-BF06-A24B-819D-8FE73B0B0D2F}"/>
            </c:ext>
          </c:extLst>
        </c:ser>
        <c:dLbls>
          <c:showLegendKey val="0"/>
          <c:showVal val="0"/>
          <c:showCatName val="0"/>
          <c:showSerName val="0"/>
          <c:showPercent val="0"/>
          <c:showBubbleSize val="0"/>
        </c:dLbls>
        <c:gapWidth val="0"/>
        <c:axId val="-69230992"/>
        <c:axId val="-69228672"/>
      </c:barChart>
      <c:catAx>
        <c:axId val="-6923099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228672"/>
        <c:crosses val="autoZero"/>
        <c:auto val="1"/>
        <c:lblAlgn val="ctr"/>
        <c:lblOffset val="0"/>
        <c:noMultiLvlLbl val="0"/>
      </c:catAx>
      <c:valAx>
        <c:axId val="-69228672"/>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230992"/>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Biogas!$K$13</c:f>
              <c:numCache>
                <c:formatCode>0%</c:formatCode>
                <c:ptCount val="1"/>
                <c:pt idx="0">
                  <c:v>0.15361865174383002</c:v>
                </c:pt>
              </c:numCache>
            </c:numRef>
          </c:val>
          <c:extLst>
            <c:ext xmlns:c16="http://schemas.microsoft.com/office/drawing/2014/chart" uri="{C3380CC4-5D6E-409C-BE32-E72D297353CC}">
              <c16:uniqueId val="{00000000-3BD1-A64B-AD9B-1FEF45F1B86B}"/>
            </c:ext>
          </c:extLst>
        </c:ser>
        <c:ser>
          <c:idx val="0"/>
          <c:order val="1"/>
          <c:tx>
            <c:v>Surface</c:v>
          </c:tx>
          <c:spPr>
            <a:solidFill>
              <a:srgbClr val="335C89"/>
            </a:solidFill>
            <a:ln w="19050">
              <a:solidFill>
                <a:schemeClr val="lt1"/>
              </a:solidFill>
            </a:ln>
            <a:effectLst/>
          </c:spPr>
          <c:invertIfNegative val="0"/>
          <c:val>
            <c:numRef>
              <c:f>Biogas!$L$13</c:f>
              <c:numCache>
                <c:formatCode>0%</c:formatCode>
                <c:ptCount val="1"/>
                <c:pt idx="0">
                  <c:v>0.7399837727726164</c:v>
                </c:pt>
              </c:numCache>
            </c:numRef>
          </c:val>
          <c:extLst>
            <c:ext xmlns:c16="http://schemas.microsoft.com/office/drawing/2014/chart" uri="{C3380CC4-5D6E-409C-BE32-E72D297353CC}">
              <c16:uniqueId val="{00000001-3BD1-A64B-AD9B-1FEF45F1B86B}"/>
            </c:ext>
          </c:extLst>
        </c:ser>
        <c:ser>
          <c:idx val="2"/>
          <c:order val="2"/>
          <c:tx>
            <c:v>Reuse</c:v>
          </c:tx>
          <c:spPr>
            <a:solidFill>
              <a:srgbClr val="19416C"/>
            </a:solidFill>
            <a:ln w="19050">
              <a:solidFill>
                <a:schemeClr val="lt1"/>
              </a:solidFill>
            </a:ln>
            <a:effectLst/>
          </c:spPr>
          <c:invertIfNegative val="0"/>
          <c:val>
            <c:numRef>
              <c:f>Biogas!$M$13</c:f>
              <c:numCache>
                <c:formatCode>0%</c:formatCode>
                <c:ptCount val="1"/>
                <c:pt idx="0">
                  <c:v>0.10639757548355361</c:v>
                </c:pt>
              </c:numCache>
            </c:numRef>
          </c:val>
          <c:extLst>
            <c:ext xmlns:c16="http://schemas.microsoft.com/office/drawing/2014/chart" uri="{C3380CC4-5D6E-409C-BE32-E72D297353CC}">
              <c16:uniqueId val="{00000002-3BD1-A64B-AD9B-1FEF45F1B86B}"/>
            </c:ext>
          </c:extLst>
        </c:ser>
        <c:dLbls>
          <c:showLegendKey val="0"/>
          <c:showVal val="0"/>
          <c:showCatName val="0"/>
          <c:showSerName val="0"/>
          <c:showPercent val="0"/>
          <c:showBubbleSize val="0"/>
        </c:dLbls>
        <c:gapWidth val="0"/>
        <c:overlap val="100"/>
        <c:axId val="68139920"/>
        <c:axId val="68137600"/>
      </c:barChart>
      <c:valAx>
        <c:axId val="68137600"/>
        <c:scaling>
          <c:orientation val="minMax"/>
        </c:scaling>
        <c:delete val="1"/>
        <c:axPos val="b"/>
        <c:numFmt formatCode="0%" sourceLinked="1"/>
        <c:majorTickMark val="out"/>
        <c:minorTickMark val="none"/>
        <c:tickLblPos val="nextTo"/>
        <c:crossAx val="68139920"/>
        <c:crosses val="autoZero"/>
        <c:crossBetween val="between"/>
      </c:valAx>
      <c:catAx>
        <c:axId val="68139920"/>
        <c:scaling>
          <c:orientation val="minMax"/>
        </c:scaling>
        <c:delete val="1"/>
        <c:axPos val="l"/>
        <c:majorTickMark val="out"/>
        <c:minorTickMark val="none"/>
        <c:tickLblPos val="nextTo"/>
        <c:crossAx val="681376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8C63-C341-B5E5-E26237D0A578}"/>
              </c:ext>
            </c:extLst>
          </c:dPt>
          <c:val>
            <c:numRef>
              <c:f>Biogas!$F$13</c:f>
              <c:numCache>
                <c:formatCode>0%</c:formatCode>
                <c:ptCount val="1"/>
                <c:pt idx="0">
                  <c:v>1</c:v>
                </c:pt>
              </c:numCache>
            </c:numRef>
          </c:val>
          <c:extLst>
            <c:ext xmlns:c16="http://schemas.microsoft.com/office/drawing/2014/chart" uri="{C3380CC4-5D6E-409C-BE32-E72D297353CC}">
              <c16:uniqueId val="{00000002-8C63-C341-B5E5-E26237D0A578}"/>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8C63-C341-B5E5-E26237D0A578}"/>
              </c:ext>
            </c:extLst>
          </c:dPt>
          <c:val>
            <c:numRef>
              <c:f>Biogas!$G$13</c:f>
              <c:numCache>
                <c:formatCode>0%</c:formatCode>
                <c:ptCount val="1"/>
                <c:pt idx="0">
                  <c:v>0</c:v>
                </c:pt>
              </c:numCache>
            </c:numRef>
          </c:val>
          <c:extLst>
            <c:ext xmlns:c16="http://schemas.microsoft.com/office/drawing/2014/chart" uri="{C3380CC4-5D6E-409C-BE32-E72D297353CC}">
              <c16:uniqueId val="{00000005-8C63-C341-B5E5-E26237D0A578}"/>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8C63-C341-B5E5-E26237D0A578}"/>
              </c:ext>
            </c:extLst>
          </c:dPt>
          <c:val>
            <c:numRef>
              <c:f>Biogas!$H$13</c:f>
              <c:numCache>
                <c:formatCode>0%</c:formatCode>
                <c:ptCount val="1"/>
                <c:pt idx="0">
                  <c:v>0</c:v>
                </c:pt>
              </c:numCache>
            </c:numRef>
          </c:val>
          <c:extLst>
            <c:ext xmlns:c16="http://schemas.microsoft.com/office/drawing/2014/chart" uri="{C3380CC4-5D6E-409C-BE32-E72D297353CC}">
              <c16:uniqueId val="{00000008-8C63-C341-B5E5-E26237D0A578}"/>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8C63-C341-B5E5-E26237D0A578}"/>
              </c:ext>
            </c:extLst>
          </c:dPt>
          <c:val>
            <c:numRef>
              <c:f>Biogas!$I$13</c:f>
              <c:numCache>
                <c:formatCode>0%</c:formatCode>
                <c:ptCount val="1"/>
                <c:pt idx="0">
                  <c:v>0</c:v>
                </c:pt>
              </c:numCache>
            </c:numRef>
          </c:val>
          <c:extLst>
            <c:ext xmlns:c16="http://schemas.microsoft.com/office/drawing/2014/chart" uri="{C3380CC4-5D6E-409C-BE32-E72D297353CC}">
              <c16:uniqueId val="{0000000B-8C63-C341-B5E5-E26237D0A578}"/>
            </c:ext>
          </c:extLst>
        </c:ser>
        <c:dLbls>
          <c:showLegendKey val="0"/>
          <c:showVal val="0"/>
          <c:showCatName val="0"/>
          <c:showSerName val="0"/>
          <c:showPercent val="0"/>
          <c:showBubbleSize val="0"/>
        </c:dLbls>
        <c:gapWidth val="0"/>
        <c:overlap val="100"/>
        <c:axId val="67781952"/>
        <c:axId val="67779664"/>
      </c:barChart>
      <c:valAx>
        <c:axId val="67779664"/>
        <c:scaling>
          <c:orientation val="minMax"/>
        </c:scaling>
        <c:delete val="1"/>
        <c:axPos val="b"/>
        <c:numFmt formatCode="0%" sourceLinked="0"/>
        <c:majorTickMark val="out"/>
        <c:minorTickMark val="none"/>
        <c:tickLblPos val="nextTo"/>
        <c:crossAx val="67781952"/>
        <c:crosses val="autoZero"/>
        <c:crossBetween val="between"/>
      </c:valAx>
      <c:catAx>
        <c:axId val="67781952"/>
        <c:scaling>
          <c:orientation val="minMax"/>
        </c:scaling>
        <c:delete val="1"/>
        <c:axPos val="l"/>
        <c:majorTickMark val="out"/>
        <c:minorTickMark val="none"/>
        <c:tickLblPos val="nextTo"/>
        <c:crossAx val="6777966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Biogas!$W$13</c:f>
              <c:numCache>
                <c:formatCode>0%</c:formatCode>
                <c:ptCount val="1"/>
                <c:pt idx="0">
                  <c:v>7.939646431326353E-3</c:v>
                </c:pt>
              </c:numCache>
            </c:numRef>
          </c:val>
          <c:extLst>
            <c:ext xmlns:c16="http://schemas.microsoft.com/office/drawing/2014/chart" uri="{C3380CC4-5D6E-409C-BE32-E72D297353CC}">
              <c16:uniqueId val="{00000000-4FF9-7342-A96C-82E260968BBE}"/>
            </c:ext>
          </c:extLst>
        </c:ser>
        <c:ser>
          <c:idx val="0"/>
          <c:order val="1"/>
          <c:tx>
            <c:v>Surface</c:v>
          </c:tx>
          <c:spPr>
            <a:solidFill>
              <a:srgbClr val="335C89"/>
            </a:solidFill>
            <a:ln w="19050">
              <a:solidFill>
                <a:schemeClr val="lt1"/>
              </a:solidFill>
            </a:ln>
            <a:effectLst/>
          </c:spPr>
          <c:invertIfNegative val="0"/>
          <c:val>
            <c:numRef>
              <c:f>Biogas!$X$13</c:f>
              <c:numCache>
                <c:formatCode>0%</c:formatCode>
                <c:ptCount val="1"/>
                <c:pt idx="0">
                  <c:v>0.98704193372195059</c:v>
                </c:pt>
              </c:numCache>
            </c:numRef>
          </c:val>
          <c:extLst>
            <c:ext xmlns:c16="http://schemas.microsoft.com/office/drawing/2014/chart" uri="{C3380CC4-5D6E-409C-BE32-E72D297353CC}">
              <c16:uniqueId val="{00000001-4FF9-7342-A96C-82E260968BBE}"/>
            </c:ext>
          </c:extLst>
        </c:ser>
        <c:ser>
          <c:idx val="2"/>
          <c:order val="2"/>
          <c:tx>
            <c:v>Reuse</c:v>
          </c:tx>
          <c:spPr>
            <a:solidFill>
              <a:srgbClr val="19416C"/>
            </a:solidFill>
            <a:ln w="19050">
              <a:solidFill>
                <a:schemeClr val="lt1"/>
              </a:solidFill>
            </a:ln>
            <a:effectLst/>
          </c:spPr>
          <c:invertIfNegative val="0"/>
          <c:val>
            <c:numRef>
              <c:f>Biogas!$Y$13</c:f>
              <c:numCache>
                <c:formatCode>0%</c:formatCode>
                <c:ptCount val="1"/>
                <c:pt idx="0">
                  <c:v>5.0184198467231262E-3</c:v>
                </c:pt>
              </c:numCache>
            </c:numRef>
          </c:val>
          <c:extLst>
            <c:ext xmlns:c16="http://schemas.microsoft.com/office/drawing/2014/chart" uri="{C3380CC4-5D6E-409C-BE32-E72D297353CC}">
              <c16:uniqueId val="{00000002-4FF9-7342-A96C-82E260968BBE}"/>
            </c:ext>
          </c:extLst>
        </c:ser>
        <c:dLbls>
          <c:showLegendKey val="0"/>
          <c:showVal val="0"/>
          <c:showCatName val="0"/>
          <c:showSerName val="0"/>
          <c:showPercent val="0"/>
          <c:showBubbleSize val="0"/>
        </c:dLbls>
        <c:gapWidth val="0"/>
        <c:overlap val="100"/>
        <c:axId val="41181936"/>
        <c:axId val="41179616"/>
      </c:barChart>
      <c:valAx>
        <c:axId val="41179616"/>
        <c:scaling>
          <c:orientation val="minMax"/>
          <c:min val="0"/>
        </c:scaling>
        <c:delete val="1"/>
        <c:axPos val="b"/>
        <c:numFmt formatCode="0%" sourceLinked="0"/>
        <c:majorTickMark val="out"/>
        <c:minorTickMark val="none"/>
        <c:tickLblPos val="nextTo"/>
        <c:crossAx val="41181936"/>
        <c:crosses val="autoZero"/>
        <c:crossBetween val="between"/>
      </c:valAx>
      <c:catAx>
        <c:axId val="41181936"/>
        <c:scaling>
          <c:orientation val="minMax"/>
        </c:scaling>
        <c:delete val="1"/>
        <c:axPos val="l"/>
        <c:majorTickMark val="out"/>
        <c:minorTickMark val="none"/>
        <c:tickLblPos val="nextTo"/>
        <c:crossAx val="411796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Oil!$K$13</c:f>
              <c:numCache>
                <c:formatCode>0%</c:formatCode>
                <c:ptCount val="1"/>
                <c:pt idx="0">
                  <c:v>0.81335862158554284</c:v>
                </c:pt>
              </c:numCache>
            </c:numRef>
          </c:val>
          <c:extLst>
            <c:ext xmlns:c16="http://schemas.microsoft.com/office/drawing/2014/chart" uri="{C3380CC4-5D6E-409C-BE32-E72D297353CC}">
              <c16:uniqueId val="{00000000-616A-EE4C-985B-ACA1CF81239A}"/>
            </c:ext>
          </c:extLst>
        </c:ser>
        <c:ser>
          <c:idx val="0"/>
          <c:order val="1"/>
          <c:tx>
            <c:v>Surface</c:v>
          </c:tx>
          <c:spPr>
            <a:solidFill>
              <a:srgbClr val="335C89"/>
            </a:solidFill>
            <a:ln w="19050">
              <a:solidFill>
                <a:schemeClr val="lt1"/>
              </a:solidFill>
            </a:ln>
            <a:effectLst/>
          </c:spPr>
          <c:invertIfNegative val="0"/>
          <c:val>
            <c:numRef>
              <c:f>Oil!$L$13</c:f>
              <c:numCache>
                <c:formatCode>0%</c:formatCode>
                <c:ptCount val="1"/>
                <c:pt idx="0">
                  <c:v>0.18439984063528383</c:v>
                </c:pt>
              </c:numCache>
            </c:numRef>
          </c:val>
          <c:extLst>
            <c:ext xmlns:c16="http://schemas.microsoft.com/office/drawing/2014/chart" uri="{C3380CC4-5D6E-409C-BE32-E72D297353CC}">
              <c16:uniqueId val="{00000001-616A-EE4C-985B-ACA1CF81239A}"/>
            </c:ext>
          </c:extLst>
        </c:ser>
        <c:ser>
          <c:idx val="2"/>
          <c:order val="2"/>
          <c:tx>
            <c:v>Reuse</c:v>
          </c:tx>
          <c:spPr>
            <a:solidFill>
              <a:srgbClr val="19416C"/>
            </a:solidFill>
            <a:ln w="19050">
              <a:solidFill>
                <a:schemeClr val="lt1"/>
              </a:solidFill>
            </a:ln>
            <a:effectLst/>
          </c:spPr>
          <c:invertIfNegative val="0"/>
          <c:val>
            <c:numRef>
              <c:f>Oil!$M$13</c:f>
              <c:numCache>
                <c:formatCode>0%</c:formatCode>
                <c:ptCount val="1"/>
                <c:pt idx="0">
                  <c:v>2.2415377791732702E-3</c:v>
                </c:pt>
              </c:numCache>
            </c:numRef>
          </c:val>
          <c:extLst>
            <c:ext xmlns:c16="http://schemas.microsoft.com/office/drawing/2014/chart" uri="{C3380CC4-5D6E-409C-BE32-E72D297353CC}">
              <c16:uniqueId val="{00000002-616A-EE4C-985B-ACA1CF81239A}"/>
            </c:ext>
          </c:extLst>
        </c:ser>
        <c:dLbls>
          <c:showLegendKey val="0"/>
          <c:showVal val="0"/>
          <c:showCatName val="0"/>
          <c:showSerName val="0"/>
          <c:showPercent val="0"/>
          <c:showBubbleSize val="0"/>
        </c:dLbls>
        <c:gapWidth val="0"/>
        <c:overlap val="100"/>
        <c:axId val="-29856848"/>
        <c:axId val="-29858896"/>
      </c:barChart>
      <c:valAx>
        <c:axId val="-29858896"/>
        <c:scaling>
          <c:orientation val="minMax"/>
        </c:scaling>
        <c:delete val="1"/>
        <c:axPos val="b"/>
        <c:numFmt formatCode="0%" sourceLinked="1"/>
        <c:majorTickMark val="out"/>
        <c:minorTickMark val="none"/>
        <c:tickLblPos val="nextTo"/>
        <c:crossAx val="-29856848"/>
        <c:crosses val="autoZero"/>
        <c:crossBetween val="between"/>
      </c:valAx>
      <c:catAx>
        <c:axId val="-29856848"/>
        <c:scaling>
          <c:orientation val="minMax"/>
        </c:scaling>
        <c:delete val="1"/>
        <c:axPos val="l"/>
        <c:majorTickMark val="out"/>
        <c:minorTickMark val="none"/>
        <c:tickLblPos val="nextTo"/>
        <c:crossAx val="-2985889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Biogas!$R$13</c:f>
              <c:numCache>
                <c:formatCode>0%</c:formatCode>
                <c:ptCount val="1"/>
                <c:pt idx="0">
                  <c:v>1</c:v>
                </c:pt>
              </c:numCache>
            </c:numRef>
          </c:val>
          <c:extLst>
            <c:ext xmlns:c16="http://schemas.microsoft.com/office/drawing/2014/chart" uri="{C3380CC4-5D6E-409C-BE32-E72D297353CC}">
              <c16:uniqueId val="{00000000-3B3D-B844-B2FB-4415AB46E3C4}"/>
            </c:ext>
          </c:extLst>
        </c:ser>
        <c:ser>
          <c:idx val="1"/>
          <c:order val="1"/>
          <c:tx>
            <c:v>Brackish</c:v>
          </c:tx>
          <c:spPr>
            <a:solidFill>
              <a:srgbClr val="98D862"/>
            </a:solidFill>
            <a:ln w="19050">
              <a:solidFill>
                <a:schemeClr val="lt1"/>
              </a:solidFill>
            </a:ln>
            <a:effectLst/>
          </c:spPr>
          <c:invertIfNegative val="0"/>
          <c:val>
            <c:numRef>
              <c:f>Biogas!$S$13</c:f>
              <c:numCache>
                <c:formatCode>0%</c:formatCode>
                <c:ptCount val="1"/>
                <c:pt idx="0">
                  <c:v>0</c:v>
                </c:pt>
              </c:numCache>
            </c:numRef>
          </c:val>
          <c:extLst>
            <c:ext xmlns:c16="http://schemas.microsoft.com/office/drawing/2014/chart" uri="{C3380CC4-5D6E-409C-BE32-E72D297353CC}">
              <c16:uniqueId val="{00000001-3B3D-B844-B2FB-4415AB46E3C4}"/>
            </c:ext>
          </c:extLst>
        </c:ser>
        <c:ser>
          <c:idx val="2"/>
          <c:order val="2"/>
          <c:tx>
            <c:v>Saline</c:v>
          </c:tx>
          <c:spPr>
            <a:solidFill>
              <a:srgbClr val="6EB739"/>
            </a:solidFill>
            <a:ln w="19050">
              <a:solidFill>
                <a:schemeClr val="lt1"/>
              </a:solidFill>
            </a:ln>
            <a:effectLst/>
          </c:spPr>
          <c:invertIfNegative val="0"/>
          <c:val>
            <c:numRef>
              <c:f>Biogas!$T$13</c:f>
              <c:numCache>
                <c:formatCode>0%</c:formatCode>
                <c:ptCount val="1"/>
                <c:pt idx="0">
                  <c:v>0</c:v>
                </c:pt>
              </c:numCache>
            </c:numRef>
          </c:val>
          <c:extLst>
            <c:ext xmlns:c16="http://schemas.microsoft.com/office/drawing/2014/chart" uri="{C3380CC4-5D6E-409C-BE32-E72D297353CC}">
              <c16:uniqueId val="{00000002-3B3D-B844-B2FB-4415AB46E3C4}"/>
            </c:ext>
          </c:extLst>
        </c:ser>
        <c:ser>
          <c:idx val="3"/>
          <c:order val="3"/>
          <c:tx>
            <c:v>Not RO</c:v>
          </c:tx>
          <c:spPr>
            <a:solidFill>
              <a:srgbClr val="5A9D2C"/>
            </a:solidFill>
            <a:ln w="19050">
              <a:solidFill>
                <a:schemeClr val="lt1"/>
              </a:solidFill>
            </a:ln>
            <a:effectLst/>
          </c:spPr>
          <c:invertIfNegative val="0"/>
          <c:val>
            <c:numRef>
              <c:f>Biogas!$U$13</c:f>
              <c:numCache>
                <c:formatCode>0%</c:formatCode>
                <c:ptCount val="1"/>
                <c:pt idx="0">
                  <c:v>0</c:v>
                </c:pt>
              </c:numCache>
            </c:numRef>
          </c:val>
          <c:extLst>
            <c:ext xmlns:c16="http://schemas.microsoft.com/office/drawing/2014/chart" uri="{C3380CC4-5D6E-409C-BE32-E72D297353CC}">
              <c16:uniqueId val="{00000003-3B3D-B844-B2FB-4415AB46E3C4}"/>
            </c:ext>
          </c:extLst>
        </c:ser>
        <c:dLbls>
          <c:showLegendKey val="0"/>
          <c:showVal val="0"/>
          <c:showCatName val="0"/>
          <c:showSerName val="0"/>
          <c:showPercent val="0"/>
          <c:showBubbleSize val="0"/>
        </c:dLbls>
        <c:gapWidth val="0"/>
        <c:overlap val="100"/>
        <c:axId val="41219840"/>
        <c:axId val="41217008"/>
      </c:barChart>
      <c:valAx>
        <c:axId val="41217008"/>
        <c:scaling>
          <c:orientation val="minMax"/>
        </c:scaling>
        <c:delete val="1"/>
        <c:axPos val="b"/>
        <c:numFmt formatCode="0%" sourceLinked="1"/>
        <c:majorTickMark val="out"/>
        <c:minorTickMark val="none"/>
        <c:tickLblPos val="nextTo"/>
        <c:crossAx val="41219840"/>
        <c:crosses val="autoZero"/>
        <c:crossBetween val="between"/>
      </c:valAx>
      <c:catAx>
        <c:axId val="41219840"/>
        <c:scaling>
          <c:orientation val="minMax"/>
        </c:scaling>
        <c:delete val="1"/>
        <c:axPos val="l"/>
        <c:majorTickMark val="out"/>
        <c:minorTickMark val="none"/>
        <c:tickLblPos val="nextTo"/>
        <c:crossAx val="4121700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Geothermal!$B$15:$B$27</c:f>
              <c:strCache>
                <c:ptCount val="13"/>
                <c:pt idx="0">
                  <c:v>Well drilling</c:v>
                </c:pt>
                <c:pt idx="1">
                  <c:v>Reservoir augmentation: Geysers</c:v>
                </c:pt>
                <c:pt idx="2">
                  <c:v>Reservoir augmentation: Coso</c:v>
                </c:pt>
                <c:pt idx="3">
                  <c:v>Reservoir augmentation: Dixie Valley</c:v>
                </c:pt>
                <c:pt idx="4">
                  <c:v>Water production from steam fields</c:v>
                </c:pt>
                <c:pt idx="7">
                  <c:v>Wet-cooled steam power plant cooling</c:v>
                </c:pt>
                <c:pt idx="8">
                  <c:v>Hybrid-cooled steam power plant cooling</c:v>
                </c:pt>
                <c:pt idx="9">
                  <c:v>Wet-cooled binary power plant cooling</c:v>
                </c:pt>
                <c:pt idx="10">
                  <c:v>Hybrid-cooled binary power plant cooling</c:v>
                </c:pt>
                <c:pt idx="11">
                  <c:v>Air cooled power plant cooling</c:v>
                </c:pt>
                <c:pt idx="12">
                  <c:v>Direct heat water loops</c:v>
                </c:pt>
              </c:strCache>
            </c:strRef>
          </c:cat>
          <c:val>
            <c:numRef>
              <c:f>Geothermal!$C$15:$C$27</c:f>
              <c:numCache>
                <c:formatCode>0.0E+00</c:formatCode>
                <c:ptCount val="13"/>
                <c:pt idx="0">
                  <c:v>540000</c:v>
                </c:pt>
                <c:pt idx="1">
                  <c:v>17643985.280499998</c:v>
                </c:pt>
                <c:pt idx="2">
                  <c:v>2061144.46826361</c:v>
                </c:pt>
                <c:pt idx="3">
                  <c:v>946080</c:v>
                </c:pt>
                <c:pt idx="4">
                  <c:v>128889402.36592908</c:v>
                </c:pt>
                <c:pt idx="7">
                  <c:v>2121552.9232487571</c:v>
                </c:pt>
                <c:pt idx="8">
                  <c:v>10342.0429528</c:v>
                </c:pt>
                <c:pt idx="9">
                  <c:v>14519397.4404776</c:v>
                </c:pt>
                <c:pt idx="10">
                  <c:v>1258539.0481099999</c:v>
                </c:pt>
                <c:pt idx="11">
                  <c:v>327351.50623559998</c:v>
                </c:pt>
                <c:pt idx="12" formatCode="0">
                  <c:v>0</c:v>
                </c:pt>
              </c:numCache>
            </c:numRef>
          </c:val>
          <c:extLst>
            <c:ext xmlns:c16="http://schemas.microsoft.com/office/drawing/2014/chart" uri="{C3380CC4-5D6E-409C-BE32-E72D297353CC}">
              <c16:uniqueId val="{00000000-7136-594E-9987-3930ACC37B66}"/>
            </c:ext>
          </c:extLst>
        </c:ser>
        <c:dLbls>
          <c:showLegendKey val="0"/>
          <c:showVal val="0"/>
          <c:showCatName val="0"/>
          <c:showSerName val="0"/>
          <c:showPercent val="0"/>
          <c:showBubbleSize val="0"/>
        </c:dLbls>
        <c:gapWidth val="0"/>
        <c:axId val="37514544"/>
        <c:axId val="37507680"/>
      </c:barChart>
      <c:catAx>
        <c:axId val="375145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7507680"/>
        <c:crosses val="autoZero"/>
        <c:auto val="1"/>
        <c:lblAlgn val="ctr"/>
        <c:lblOffset val="0"/>
        <c:noMultiLvlLbl val="0"/>
      </c:catAx>
      <c:valAx>
        <c:axId val="37507680"/>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7514544"/>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Geothermal!$B$15:$B$27</c:f>
              <c:strCache>
                <c:ptCount val="13"/>
                <c:pt idx="0">
                  <c:v>Well drilling</c:v>
                </c:pt>
                <c:pt idx="1">
                  <c:v>Reservoir augmentation: Geysers</c:v>
                </c:pt>
                <c:pt idx="2">
                  <c:v>Reservoir augmentation: Coso</c:v>
                </c:pt>
                <c:pt idx="3">
                  <c:v>Reservoir augmentation: Dixie Valley</c:v>
                </c:pt>
                <c:pt idx="4">
                  <c:v>Water production from steam fields</c:v>
                </c:pt>
                <c:pt idx="7">
                  <c:v>Wet-cooled steam power plant cooling</c:v>
                </c:pt>
                <c:pt idx="8">
                  <c:v>Hybrid-cooled steam power plant cooling</c:v>
                </c:pt>
                <c:pt idx="9">
                  <c:v>Wet-cooled binary power plant cooling</c:v>
                </c:pt>
                <c:pt idx="10">
                  <c:v>Hybrid-cooled binary power plant cooling</c:v>
                </c:pt>
                <c:pt idx="11">
                  <c:v>Air cooled power plant cooling</c:v>
                </c:pt>
                <c:pt idx="12">
                  <c:v>Direct heat water loops</c:v>
                </c:pt>
              </c:strCache>
            </c:strRef>
          </c:cat>
          <c:val>
            <c:numRef>
              <c:f>Geothermal!$O$15:$O$27</c:f>
              <c:numCache>
                <c:formatCode>0.0E+00</c:formatCode>
                <c:ptCount val="13"/>
                <c:pt idx="0">
                  <c:v>540000</c:v>
                </c:pt>
                <c:pt idx="1">
                  <c:v>17643985.280499998</c:v>
                </c:pt>
                <c:pt idx="2">
                  <c:v>2061144.46826361</c:v>
                </c:pt>
                <c:pt idx="3">
                  <c:v>946080</c:v>
                </c:pt>
                <c:pt idx="4">
                  <c:v>128889402.36592908</c:v>
                </c:pt>
                <c:pt idx="7">
                  <c:v>2121552.9232487571</c:v>
                </c:pt>
                <c:pt idx="8">
                  <c:v>10342.0429528</c:v>
                </c:pt>
                <c:pt idx="9">
                  <c:v>14519397.4404776</c:v>
                </c:pt>
                <c:pt idx="10">
                  <c:v>1258539.0481099999</c:v>
                </c:pt>
                <c:pt idx="11">
                  <c:v>327351.50623559998</c:v>
                </c:pt>
                <c:pt idx="12">
                  <c:v>187533.81597272403</c:v>
                </c:pt>
              </c:numCache>
            </c:numRef>
          </c:val>
          <c:extLst>
            <c:ext xmlns:c16="http://schemas.microsoft.com/office/drawing/2014/chart" uri="{C3380CC4-5D6E-409C-BE32-E72D297353CC}">
              <c16:uniqueId val="{00000000-0362-B240-B757-A0BC7152626A}"/>
            </c:ext>
          </c:extLst>
        </c:ser>
        <c:dLbls>
          <c:showLegendKey val="0"/>
          <c:showVal val="0"/>
          <c:showCatName val="0"/>
          <c:showSerName val="0"/>
          <c:showPercent val="0"/>
          <c:showBubbleSize val="0"/>
        </c:dLbls>
        <c:gapWidth val="0"/>
        <c:axId val="67793872"/>
        <c:axId val="6841744"/>
      </c:barChart>
      <c:catAx>
        <c:axId val="6779387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841744"/>
        <c:crosses val="autoZero"/>
        <c:auto val="1"/>
        <c:lblAlgn val="ctr"/>
        <c:lblOffset val="0"/>
        <c:noMultiLvlLbl val="0"/>
      </c:catAx>
      <c:valAx>
        <c:axId val="6841744"/>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793872"/>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Geothermal!$K$13</c:f>
              <c:numCache>
                <c:formatCode>0%</c:formatCode>
                <c:ptCount val="1"/>
                <c:pt idx="0">
                  <c:v>0.85764902904073825</c:v>
                </c:pt>
              </c:numCache>
            </c:numRef>
          </c:val>
          <c:extLst>
            <c:ext xmlns:c16="http://schemas.microsoft.com/office/drawing/2014/chart" uri="{C3380CC4-5D6E-409C-BE32-E72D297353CC}">
              <c16:uniqueId val="{00000000-6C26-114A-A240-00CD61DE1AFB}"/>
            </c:ext>
          </c:extLst>
        </c:ser>
        <c:ser>
          <c:idx val="0"/>
          <c:order val="1"/>
          <c:tx>
            <c:v>Surface</c:v>
          </c:tx>
          <c:spPr>
            <a:solidFill>
              <a:srgbClr val="335C89"/>
            </a:solidFill>
            <a:ln w="19050">
              <a:solidFill>
                <a:schemeClr val="lt1"/>
              </a:solidFill>
            </a:ln>
            <a:effectLst/>
          </c:spPr>
          <c:invertIfNegative val="0"/>
          <c:val>
            <c:numRef>
              <c:f>Geothermal!$L$13</c:f>
              <c:numCache>
                <c:formatCode>0%</c:formatCode>
                <c:ptCount val="1"/>
                <c:pt idx="0">
                  <c:v>3.7258189340166337E-2</c:v>
                </c:pt>
              </c:numCache>
            </c:numRef>
          </c:val>
          <c:extLst>
            <c:ext xmlns:c16="http://schemas.microsoft.com/office/drawing/2014/chart" uri="{C3380CC4-5D6E-409C-BE32-E72D297353CC}">
              <c16:uniqueId val="{00000001-6C26-114A-A240-00CD61DE1AFB}"/>
            </c:ext>
          </c:extLst>
        </c:ser>
        <c:ser>
          <c:idx val="2"/>
          <c:order val="2"/>
          <c:tx>
            <c:v>Reuse</c:v>
          </c:tx>
          <c:spPr>
            <a:solidFill>
              <a:srgbClr val="19416C"/>
            </a:solidFill>
            <a:ln w="19050">
              <a:solidFill>
                <a:schemeClr val="lt1"/>
              </a:solidFill>
            </a:ln>
            <a:effectLst/>
          </c:spPr>
          <c:invertIfNegative val="0"/>
          <c:val>
            <c:numRef>
              <c:f>Geothermal!$M$13</c:f>
              <c:numCache>
                <c:formatCode>0%</c:formatCode>
                <c:ptCount val="1"/>
                <c:pt idx="0">
                  <c:v>0.10509278161909523</c:v>
                </c:pt>
              </c:numCache>
            </c:numRef>
          </c:val>
          <c:extLst>
            <c:ext xmlns:c16="http://schemas.microsoft.com/office/drawing/2014/chart" uri="{C3380CC4-5D6E-409C-BE32-E72D297353CC}">
              <c16:uniqueId val="{00000002-6C26-114A-A240-00CD61DE1AFB}"/>
            </c:ext>
          </c:extLst>
        </c:ser>
        <c:dLbls>
          <c:showLegendKey val="0"/>
          <c:showVal val="0"/>
          <c:showCatName val="0"/>
          <c:showSerName val="0"/>
          <c:showPercent val="0"/>
          <c:showBubbleSize val="0"/>
        </c:dLbls>
        <c:gapWidth val="0"/>
        <c:overlap val="100"/>
        <c:axId val="67483920"/>
        <c:axId val="67481600"/>
      </c:barChart>
      <c:valAx>
        <c:axId val="67481600"/>
        <c:scaling>
          <c:orientation val="minMax"/>
          <c:min val="0"/>
        </c:scaling>
        <c:delete val="1"/>
        <c:axPos val="b"/>
        <c:numFmt formatCode="0%" sourceLinked="1"/>
        <c:majorTickMark val="out"/>
        <c:minorTickMark val="none"/>
        <c:tickLblPos val="nextTo"/>
        <c:crossAx val="67483920"/>
        <c:crosses val="autoZero"/>
        <c:crossBetween val="between"/>
      </c:valAx>
      <c:catAx>
        <c:axId val="67483920"/>
        <c:scaling>
          <c:orientation val="minMax"/>
        </c:scaling>
        <c:delete val="1"/>
        <c:axPos val="l"/>
        <c:majorTickMark val="out"/>
        <c:minorTickMark val="none"/>
        <c:tickLblPos val="nextTo"/>
        <c:crossAx val="674816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1C11-F94B-B1E5-6D1C122379DE}"/>
              </c:ext>
            </c:extLst>
          </c:dPt>
          <c:val>
            <c:numRef>
              <c:f>Geothermal!$F$13</c:f>
              <c:numCache>
                <c:formatCode>0%</c:formatCode>
                <c:ptCount val="1"/>
                <c:pt idx="0">
                  <c:v>0.99917211782742466</c:v>
                </c:pt>
              </c:numCache>
            </c:numRef>
          </c:val>
          <c:extLst>
            <c:ext xmlns:c16="http://schemas.microsoft.com/office/drawing/2014/chart" uri="{C3380CC4-5D6E-409C-BE32-E72D297353CC}">
              <c16:uniqueId val="{00000002-1C11-F94B-B1E5-6D1C122379DE}"/>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1C11-F94B-B1E5-6D1C122379DE}"/>
              </c:ext>
            </c:extLst>
          </c:dPt>
          <c:val>
            <c:numRef>
              <c:f>Geothermal!$G$13</c:f>
              <c:numCache>
                <c:formatCode>0%</c:formatCode>
                <c:ptCount val="1"/>
                <c:pt idx="0">
                  <c:v>8.2788217061467815E-4</c:v>
                </c:pt>
              </c:numCache>
            </c:numRef>
          </c:val>
          <c:extLst>
            <c:ext xmlns:c16="http://schemas.microsoft.com/office/drawing/2014/chart" uri="{C3380CC4-5D6E-409C-BE32-E72D297353CC}">
              <c16:uniqueId val="{00000005-1C11-F94B-B1E5-6D1C122379DE}"/>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1C11-F94B-B1E5-6D1C122379DE}"/>
              </c:ext>
            </c:extLst>
          </c:dPt>
          <c:val>
            <c:numRef>
              <c:f>Geothermal!$H$13</c:f>
              <c:numCache>
                <c:formatCode>0%</c:formatCode>
                <c:ptCount val="1"/>
                <c:pt idx="0">
                  <c:v>0</c:v>
                </c:pt>
              </c:numCache>
            </c:numRef>
          </c:val>
          <c:extLst>
            <c:ext xmlns:c16="http://schemas.microsoft.com/office/drawing/2014/chart" uri="{C3380CC4-5D6E-409C-BE32-E72D297353CC}">
              <c16:uniqueId val="{00000008-1C11-F94B-B1E5-6D1C122379DE}"/>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1C11-F94B-B1E5-6D1C122379DE}"/>
              </c:ext>
            </c:extLst>
          </c:dPt>
          <c:val>
            <c:numRef>
              <c:f>Geothermal!$I$13</c:f>
              <c:numCache>
                <c:formatCode>0%</c:formatCode>
                <c:ptCount val="1"/>
                <c:pt idx="0">
                  <c:v>0</c:v>
                </c:pt>
              </c:numCache>
            </c:numRef>
          </c:val>
          <c:extLst>
            <c:ext xmlns:c16="http://schemas.microsoft.com/office/drawing/2014/chart" uri="{C3380CC4-5D6E-409C-BE32-E72D297353CC}">
              <c16:uniqueId val="{0000000B-1C11-F94B-B1E5-6D1C122379DE}"/>
            </c:ext>
          </c:extLst>
        </c:ser>
        <c:dLbls>
          <c:showLegendKey val="0"/>
          <c:showVal val="0"/>
          <c:showCatName val="0"/>
          <c:showSerName val="0"/>
          <c:showPercent val="0"/>
          <c:showBubbleSize val="0"/>
        </c:dLbls>
        <c:gapWidth val="0"/>
        <c:overlap val="100"/>
        <c:axId val="67518464"/>
        <c:axId val="67515632"/>
      </c:barChart>
      <c:valAx>
        <c:axId val="67515632"/>
        <c:scaling>
          <c:orientation val="minMax"/>
          <c:min val="0"/>
        </c:scaling>
        <c:delete val="1"/>
        <c:axPos val="b"/>
        <c:numFmt formatCode="0%" sourceLinked="1"/>
        <c:majorTickMark val="out"/>
        <c:minorTickMark val="none"/>
        <c:tickLblPos val="nextTo"/>
        <c:crossAx val="67518464"/>
        <c:crosses val="autoZero"/>
        <c:crossBetween val="between"/>
      </c:valAx>
      <c:catAx>
        <c:axId val="67518464"/>
        <c:scaling>
          <c:orientation val="minMax"/>
        </c:scaling>
        <c:delete val="1"/>
        <c:axPos val="l"/>
        <c:majorTickMark val="out"/>
        <c:minorTickMark val="none"/>
        <c:tickLblPos val="nextTo"/>
        <c:crossAx val="6751563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Geothermal!$W$13</c:f>
              <c:numCache>
                <c:formatCode>0%</c:formatCode>
                <c:ptCount val="1"/>
                <c:pt idx="0">
                  <c:v>0.85780745501436773</c:v>
                </c:pt>
              </c:numCache>
            </c:numRef>
          </c:val>
          <c:extLst>
            <c:ext xmlns:c16="http://schemas.microsoft.com/office/drawing/2014/chart" uri="{C3380CC4-5D6E-409C-BE32-E72D297353CC}">
              <c16:uniqueId val="{00000000-6D0A-F74B-861D-FBBA661535A2}"/>
            </c:ext>
          </c:extLst>
        </c:ser>
        <c:ser>
          <c:idx val="0"/>
          <c:order val="1"/>
          <c:tx>
            <c:v>Surface</c:v>
          </c:tx>
          <c:spPr>
            <a:solidFill>
              <a:srgbClr val="335C89"/>
            </a:solidFill>
            <a:ln w="19050">
              <a:solidFill>
                <a:schemeClr val="lt1"/>
              </a:solidFill>
            </a:ln>
            <a:effectLst/>
          </c:spPr>
          <c:invertIfNegative val="0"/>
          <c:val>
            <c:numRef>
              <c:f>Geothermal!$X$13</c:f>
              <c:numCache>
                <c:formatCode>0%</c:formatCode>
                <c:ptCount val="1"/>
                <c:pt idx="0">
                  <c:v>3.7216723764750104E-2</c:v>
                </c:pt>
              </c:numCache>
            </c:numRef>
          </c:val>
          <c:extLst>
            <c:ext xmlns:c16="http://schemas.microsoft.com/office/drawing/2014/chart" uri="{C3380CC4-5D6E-409C-BE32-E72D297353CC}">
              <c16:uniqueId val="{00000001-6D0A-F74B-861D-FBBA661535A2}"/>
            </c:ext>
          </c:extLst>
        </c:ser>
        <c:ser>
          <c:idx val="2"/>
          <c:order val="2"/>
          <c:tx>
            <c:v>Reuse</c:v>
          </c:tx>
          <c:spPr>
            <a:solidFill>
              <a:srgbClr val="19416C"/>
            </a:solidFill>
            <a:ln w="19050">
              <a:solidFill>
                <a:schemeClr val="lt1"/>
              </a:solidFill>
            </a:ln>
            <a:effectLst/>
          </c:spPr>
          <c:invertIfNegative val="0"/>
          <c:val>
            <c:numRef>
              <c:f>Geothermal!$Y$13</c:f>
              <c:numCache>
                <c:formatCode>0%</c:formatCode>
                <c:ptCount val="1"/>
                <c:pt idx="0">
                  <c:v>0.10497582122088203</c:v>
                </c:pt>
              </c:numCache>
            </c:numRef>
          </c:val>
          <c:extLst>
            <c:ext xmlns:c16="http://schemas.microsoft.com/office/drawing/2014/chart" uri="{C3380CC4-5D6E-409C-BE32-E72D297353CC}">
              <c16:uniqueId val="{00000002-6D0A-F74B-861D-FBBA661535A2}"/>
            </c:ext>
          </c:extLst>
        </c:ser>
        <c:dLbls>
          <c:showLegendKey val="0"/>
          <c:showVal val="0"/>
          <c:showCatName val="0"/>
          <c:showSerName val="0"/>
          <c:showPercent val="0"/>
          <c:showBubbleSize val="0"/>
        </c:dLbls>
        <c:gapWidth val="0"/>
        <c:overlap val="100"/>
        <c:axId val="67136400"/>
        <c:axId val="67134080"/>
      </c:barChart>
      <c:valAx>
        <c:axId val="67134080"/>
        <c:scaling>
          <c:orientation val="minMax"/>
          <c:min val="0"/>
        </c:scaling>
        <c:delete val="1"/>
        <c:axPos val="b"/>
        <c:numFmt formatCode="0%" sourceLinked="0"/>
        <c:majorTickMark val="out"/>
        <c:minorTickMark val="none"/>
        <c:tickLblPos val="nextTo"/>
        <c:crossAx val="67136400"/>
        <c:crosses val="autoZero"/>
        <c:crossBetween val="between"/>
      </c:valAx>
      <c:catAx>
        <c:axId val="67136400"/>
        <c:scaling>
          <c:orientation val="minMax"/>
        </c:scaling>
        <c:delete val="1"/>
        <c:axPos val="l"/>
        <c:majorTickMark val="out"/>
        <c:minorTickMark val="none"/>
        <c:tickLblPos val="nextTo"/>
        <c:crossAx val="6713408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Geothermal!$R$13</c:f>
              <c:numCache>
                <c:formatCode>0%</c:formatCode>
                <c:ptCount val="1"/>
                <c:pt idx="0">
                  <c:v>0.99917303919830369</c:v>
                </c:pt>
              </c:numCache>
            </c:numRef>
          </c:val>
          <c:extLst>
            <c:ext xmlns:c16="http://schemas.microsoft.com/office/drawing/2014/chart" uri="{C3380CC4-5D6E-409C-BE32-E72D297353CC}">
              <c16:uniqueId val="{00000000-F283-2049-B5C0-FD5EDE119546}"/>
            </c:ext>
          </c:extLst>
        </c:ser>
        <c:ser>
          <c:idx val="1"/>
          <c:order val="1"/>
          <c:tx>
            <c:v>Brackish</c:v>
          </c:tx>
          <c:spPr>
            <a:solidFill>
              <a:srgbClr val="98D862"/>
            </a:solidFill>
            <a:ln w="19050">
              <a:solidFill>
                <a:schemeClr val="lt1"/>
              </a:solidFill>
            </a:ln>
            <a:effectLst/>
          </c:spPr>
          <c:invertIfNegative val="0"/>
          <c:val>
            <c:numRef>
              <c:f>Geothermal!$S$13</c:f>
              <c:numCache>
                <c:formatCode>0%</c:formatCode>
                <c:ptCount val="1"/>
                <c:pt idx="0">
                  <c:v>8.2696079973785001E-4</c:v>
                </c:pt>
              </c:numCache>
            </c:numRef>
          </c:val>
          <c:extLst>
            <c:ext xmlns:c16="http://schemas.microsoft.com/office/drawing/2014/chart" uri="{C3380CC4-5D6E-409C-BE32-E72D297353CC}">
              <c16:uniqueId val="{00000001-F283-2049-B5C0-FD5EDE119546}"/>
            </c:ext>
          </c:extLst>
        </c:ser>
        <c:ser>
          <c:idx val="2"/>
          <c:order val="2"/>
          <c:tx>
            <c:v>Saline</c:v>
          </c:tx>
          <c:spPr>
            <a:solidFill>
              <a:srgbClr val="6EB739"/>
            </a:solidFill>
            <a:ln w="19050">
              <a:solidFill>
                <a:schemeClr val="lt1"/>
              </a:solidFill>
            </a:ln>
            <a:effectLst/>
          </c:spPr>
          <c:invertIfNegative val="0"/>
          <c:val>
            <c:numRef>
              <c:f>Geothermal!$T$13</c:f>
              <c:numCache>
                <c:formatCode>0%</c:formatCode>
                <c:ptCount val="1"/>
                <c:pt idx="0">
                  <c:v>0</c:v>
                </c:pt>
              </c:numCache>
            </c:numRef>
          </c:val>
          <c:extLst>
            <c:ext xmlns:c16="http://schemas.microsoft.com/office/drawing/2014/chart" uri="{C3380CC4-5D6E-409C-BE32-E72D297353CC}">
              <c16:uniqueId val="{00000002-F283-2049-B5C0-FD5EDE119546}"/>
            </c:ext>
          </c:extLst>
        </c:ser>
        <c:ser>
          <c:idx val="3"/>
          <c:order val="3"/>
          <c:tx>
            <c:v>Not RO</c:v>
          </c:tx>
          <c:spPr>
            <a:solidFill>
              <a:srgbClr val="5A9D2C"/>
            </a:solidFill>
            <a:ln w="19050">
              <a:solidFill>
                <a:schemeClr val="lt1"/>
              </a:solidFill>
            </a:ln>
            <a:effectLst/>
          </c:spPr>
          <c:invertIfNegative val="0"/>
          <c:val>
            <c:numRef>
              <c:f>Geothermal!$U$13</c:f>
              <c:numCache>
                <c:formatCode>0%</c:formatCode>
                <c:ptCount val="1"/>
                <c:pt idx="0">
                  <c:v>0</c:v>
                </c:pt>
              </c:numCache>
            </c:numRef>
          </c:val>
          <c:extLst>
            <c:ext xmlns:c16="http://schemas.microsoft.com/office/drawing/2014/chart" uri="{C3380CC4-5D6E-409C-BE32-E72D297353CC}">
              <c16:uniqueId val="{00000003-F283-2049-B5C0-FD5EDE119546}"/>
            </c:ext>
          </c:extLst>
        </c:ser>
        <c:dLbls>
          <c:showLegendKey val="0"/>
          <c:showVal val="0"/>
          <c:showCatName val="0"/>
          <c:showSerName val="0"/>
          <c:showPercent val="0"/>
          <c:showBubbleSize val="0"/>
        </c:dLbls>
        <c:gapWidth val="0"/>
        <c:overlap val="100"/>
        <c:axId val="67151360"/>
        <c:axId val="67148800"/>
      </c:barChart>
      <c:valAx>
        <c:axId val="67148800"/>
        <c:scaling>
          <c:orientation val="minMax"/>
          <c:min val="0"/>
        </c:scaling>
        <c:delete val="1"/>
        <c:axPos val="b"/>
        <c:numFmt formatCode="0%" sourceLinked="0"/>
        <c:majorTickMark val="out"/>
        <c:minorTickMark val="none"/>
        <c:tickLblPos val="nextTo"/>
        <c:crossAx val="67151360"/>
        <c:crosses val="autoZero"/>
        <c:crossBetween val="between"/>
      </c:valAx>
      <c:catAx>
        <c:axId val="67151360"/>
        <c:scaling>
          <c:orientation val="minMax"/>
        </c:scaling>
        <c:delete val="1"/>
        <c:axPos val="l"/>
        <c:majorTickMark val="out"/>
        <c:minorTickMark val="none"/>
        <c:tickLblPos val="nextTo"/>
        <c:crossAx val="671488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'Solar Photovoltaic'!$B$15:$B$16</c:f>
              <c:strCache>
                <c:ptCount val="2"/>
                <c:pt idx="0">
                  <c:v>Panel washing, utility scale</c:v>
                </c:pt>
                <c:pt idx="1">
                  <c:v>Panel washing, distributed</c:v>
                </c:pt>
              </c:strCache>
            </c:strRef>
          </c:cat>
          <c:val>
            <c:numRef>
              <c:f>'Solar Photovoltaic'!$C$15:$C$16</c:f>
              <c:numCache>
                <c:formatCode>0</c:formatCode>
                <c:ptCount val="2"/>
                <c:pt idx="0" formatCode="0.0E+00">
                  <c:v>169190.55555555553</c:v>
                </c:pt>
                <c:pt idx="1">
                  <c:v>0</c:v>
                </c:pt>
              </c:numCache>
            </c:numRef>
          </c:val>
          <c:extLst>
            <c:ext xmlns:c16="http://schemas.microsoft.com/office/drawing/2014/chart" uri="{C3380CC4-5D6E-409C-BE32-E72D297353CC}">
              <c16:uniqueId val="{00000000-B533-D44F-B19B-6F2BC5B3B77B}"/>
            </c:ext>
          </c:extLst>
        </c:ser>
        <c:dLbls>
          <c:showLegendKey val="0"/>
          <c:showVal val="0"/>
          <c:showCatName val="0"/>
          <c:showSerName val="0"/>
          <c:showPercent val="0"/>
          <c:showBubbleSize val="0"/>
        </c:dLbls>
        <c:gapWidth val="0"/>
        <c:axId val="67156944"/>
        <c:axId val="67159264"/>
      </c:barChart>
      <c:catAx>
        <c:axId val="671569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159264"/>
        <c:crosses val="autoZero"/>
        <c:auto val="1"/>
        <c:lblAlgn val="ctr"/>
        <c:lblOffset val="0"/>
        <c:noMultiLvlLbl val="0"/>
      </c:catAx>
      <c:valAx>
        <c:axId val="67159264"/>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156944"/>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'Solar Photovoltaic'!$B$15:$B$16</c:f>
              <c:strCache>
                <c:ptCount val="2"/>
                <c:pt idx="0">
                  <c:v>Panel washing, utility scale</c:v>
                </c:pt>
                <c:pt idx="1">
                  <c:v>Panel washing, distributed</c:v>
                </c:pt>
              </c:strCache>
            </c:strRef>
          </c:cat>
          <c:val>
            <c:numRef>
              <c:f>'Solar Photovoltaic'!$O$15:$O$16</c:f>
              <c:numCache>
                <c:formatCode>0</c:formatCode>
                <c:ptCount val="2"/>
                <c:pt idx="0" formatCode="0.0E+00">
                  <c:v>169190.55555555553</c:v>
                </c:pt>
                <c:pt idx="1">
                  <c:v>0</c:v>
                </c:pt>
              </c:numCache>
            </c:numRef>
          </c:val>
          <c:extLst>
            <c:ext xmlns:c16="http://schemas.microsoft.com/office/drawing/2014/chart" uri="{C3380CC4-5D6E-409C-BE32-E72D297353CC}">
              <c16:uniqueId val="{00000000-E994-E74C-9BB2-86DF35AD1A82}"/>
            </c:ext>
          </c:extLst>
        </c:ser>
        <c:dLbls>
          <c:showLegendKey val="0"/>
          <c:showVal val="0"/>
          <c:showCatName val="0"/>
          <c:showSerName val="0"/>
          <c:showPercent val="0"/>
          <c:showBubbleSize val="0"/>
        </c:dLbls>
        <c:gapWidth val="0"/>
        <c:axId val="67182960"/>
        <c:axId val="67185280"/>
      </c:barChart>
      <c:catAx>
        <c:axId val="6718296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185280"/>
        <c:crosses val="autoZero"/>
        <c:auto val="1"/>
        <c:lblAlgn val="ctr"/>
        <c:lblOffset val="0"/>
        <c:noMultiLvlLbl val="0"/>
      </c:catAx>
      <c:valAx>
        <c:axId val="67185280"/>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182960"/>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'Solar Photovoltaic'!$K$13</c:f>
              <c:numCache>
                <c:formatCode>0%</c:formatCode>
                <c:ptCount val="1"/>
                <c:pt idx="0">
                  <c:v>1</c:v>
                </c:pt>
              </c:numCache>
            </c:numRef>
          </c:val>
          <c:extLst>
            <c:ext xmlns:c16="http://schemas.microsoft.com/office/drawing/2014/chart" uri="{C3380CC4-5D6E-409C-BE32-E72D297353CC}">
              <c16:uniqueId val="{00000000-2113-2F4F-A718-B840B10F81ED}"/>
            </c:ext>
          </c:extLst>
        </c:ser>
        <c:ser>
          <c:idx val="0"/>
          <c:order val="1"/>
          <c:tx>
            <c:v>Surface</c:v>
          </c:tx>
          <c:spPr>
            <a:solidFill>
              <a:srgbClr val="335C89"/>
            </a:solidFill>
            <a:ln w="19050">
              <a:solidFill>
                <a:schemeClr val="lt1"/>
              </a:solidFill>
            </a:ln>
            <a:effectLst/>
          </c:spPr>
          <c:invertIfNegative val="0"/>
          <c:val>
            <c:numRef>
              <c:f>'Solar Photovoltaic'!$L$13</c:f>
              <c:numCache>
                <c:formatCode>0%</c:formatCode>
                <c:ptCount val="1"/>
                <c:pt idx="0">
                  <c:v>0</c:v>
                </c:pt>
              </c:numCache>
            </c:numRef>
          </c:val>
          <c:extLst>
            <c:ext xmlns:c16="http://schemas.microsoft.com/office/drawing/2014/chart" uri="{C3380CC4-5D6E-409C-BE32-E72D297353CC}">
              <c16:uniqueId val="{00000001-2113-2F4F-A718-B840B10F81ED}"/>
            </c:ext>
          </c:extLst>
        </c:ser>
        <c:ser>
          <c:idx val="2"/>
          <c:order val="2"/>
          <c:tx>
            <c:v>Reuse</c:v>
          </c:tx>
          <c:spPr>
            <a:solidFill>
              <a:srgbClr val="19416C"/>
            </a:solidFill>
            <a:ln w="19050">
              <a:solidFill>
                <a:schemeClr val="lt1"/>
              </a:solidFill>
            </a:ln>
            <a:effectLst/>
          </c:spPr>
          <c:invertIfNegative val="0"/>
          <c:val>
            <c:numRef>
              <c:f>'Solar Photovoltaic'!$M$13</c:f>
              <c:numCache>
                <c:formatCode>0%</c:formatCode>
                <c:ptCount val="1"/>
                <c:pt idx="0">
                  <c:v>0</c:v>
                </c:pt>
              </c:numCache>
            </c:numRef>
          </c:val>
          <c:extLst>
            <c:ext xmlns:c16="http://schemas.microsoft.com/office/drawing/2014/chart" uri="{C3380CC4-5D6E-409C-BE32-E72D297353CC}">
              <c16:uniqueId val="{00000002-2113-2F4F-A718-B840B10F81ED}"/>
            </c:ext>
          </c:extLst>
        </c:ser>
        <c:dLbls>
          <c:showLegendKey val="0"/>
          <c:showVal val="0"/>
          <c:showCatName val="0"/>
          <c:showSerName val="0"/>
          <c:showPercent val="0"/>
          <c:showBubbleSize val="0"/>
        </c:dLbls>
        <c:gapWidth val="0"/>
        <c:overlap val="100"/>
        <c:axId val="41271376"/>
        <c:axId val="41269056"/>
      </c:barChart>
      <c:valAx>
        <c:axId val="41269056"/>
        <c:scaling>
          <c:orientation val="minMax"/>
        </c:scaling>
        <c:delete val="1"/>
        <c:axPos val="b"/>
        <c:numFmt formatCode="0%" sourceLinked="1"/>
        <c:majorTickMark val="out"/>
        <c:minorTickMark val="none"/>
        <c:tickLblPos val="nextTo"/>
        <c:crossAx val="41271376"/>
        <c:crosses val="autoZero"/>
        <c:crossBetween val="between"/>
      </c:valAx>
      <c:catAx>
        <c:axId val="41271376"/>
        <c:scaling>
          <c:orientation val="minMax"/>
        </c:scaling>
        <c:delete val="1"/>
        <c:axPos val="l"/>
        <c:majorTickMark val="out"/>
        <c:minorTickMark val="none"/>
        <c:tickLblPos val="nextTo"/>
        <c:crossAx val="4126905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2EE9-4848-8D4D-E8802E7E42D8}"/>
              </c:ext>
            </c:extLst>
          </c:dPt>
          <c:val>
            <c:numRef>
              <c:f>Oil!$F$13</c:f>
              <c:numCache>
                <c:formatCode>0%</c:formatCode>
                <c:ptCount val="1"/>
                <c:pt idx="0">
                  <c:v>0.23116057660230332</c:v>
                </c:pt>
              </c:numCache>
            </c:numRef>
          </c:val>
          <c:extLst>
            <c:ext xmlns:c16="http://schemas.microsoft.com/office/drawing/2014/chart" uri="{C3380CC4-5D6E-409C-BE32-E72D297353CC}">
              <c16:uniqueId val="{00000002-2EE9-4848-8D4D-E8802E7E42D8}"/>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2EE9-4848-8D4D-E8802E7E42D8}"/>
              </c:ext>
            </c:extLst>
          </c:dPt>
          <c:val>
            <c:numRef>
              <c:f>Oil!$G$13</c:f>
              <c:numCache>
                <c:formatCode>0%</c:formatCode>
                <c:ptCount val="1"/>
                <c:pt idx="0">
                  <c:v>7.9263942370149595E-2</c:v>
                </c:pt>
              </c:numCache>
            </c:numRef>
          </c:val>
          <c:extLst>
            <c:ext xmlns:c16="http://schemas.microsoft.com/office/drawing/2014/chart" uri="{C3380CC4-5D6E-409C-BE32-E72D297353CC}">
              <c16:uniqueId val="{00000005-2EE9-4848-8D4D-E8802E7E42D8}"/>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2EE9-4848-8D4D-E8802E7E42D8}"/>
              </c:ext>
            </c:extLst>
          </c:dPt>
          <c:val>
            <c:numRef>
              <c:f>Oil!$H$13</c:f>
              <c:numCache>
                <c:formatCode>0%</c:formatCode>
                <c:ptCount val="1"/>
                <c:pt idx="0">
                  <c:v>0.18985893542444465</c:v>
                </c:pt>
              </c:numCache>
            </c:numRef>
          </c:val>
          <c:extLst>
            <c:ext xmlns:c16="http://schemas.microsoft.com/office/drawing/2014/chart" uri="{C3380CC4-5D6E-409C-BE32-E72D297353CC}">
              <c16:uniqueId val="{00000008-2EE9-4848-8D4D-E8802E7E42D8}"/>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2EE9-4848-8D4D-E8802E7E42D8}"/>
              </c:ext>
            </c:extLst>
          </c:dPt>
          <c:val>
            <c:numRef>
              <c:f>Oil!$I$13</c:f>
              <c:numCache>
                <c:formatCode>0%</c:formatCode>
                <c:ptCount val="1"/>
                <c:pt idx="0">
                  <c:v>0.4997165456031023</c:v>
                </c:pt>
              </c:numCache>
            </c:numRef>
          </c:val>
          <c:extLst>
            <c:ext xmlns:c16="http://schemas.microsoft.com/office/drawing/2014/chart" uri="{C3380CC4-5D6E-409C-BE32-E72D297353CC}">
              <c16:uniqueId val="{0000000B-2EE9-4848-8D4D-E8802E7E42D8}"/>
            </c:ext>
          </c:extLst>
        </c:ser>
        <c:dLbls>
          <c:showLegendKey val="0"/>
          <c:showVal val="0"/>
          <c:showCatName val="0"/>
          <c:showSerName val="0"/>
          <c:showPercent val="0"/>
          <c:showBubbleSize val="0"/>
        </c:dLbls>
        <c:gapWidth val="0"/>
        <c:overlap val="100"/>
        <c:axId val="67819152"/>
        <c:axId val="67816320"/>
      </c:barChart>
      <c:valAx>
        <c:axId val="67816320"/>
        <c:scaling>
          <c:orientation val="minMax"/>
        </c:scaling>
        <c:delete val="1"/>
        <c:axPos val="b"/>
        <c:numFmt formatCode="0%" sourceLinked="1"/>
        <c:majorTickMark val="out"/>
        <c:minorTickMark val="none"/>
        <c:tickLblPos val="nextTo"/>
        <c:crossAx val="67819152"/>
        <c:crosses val="autoZero"/>
        <c:crossBetween val="between"/>
      </c:valAx>
      <c:catAx>
        <c:axId val="67819152"/>
        <c:scaling>
          <c:orientation val="minMax"/>
        </c:scaling>
        <c:delete val="1"/>
        <c:axPos val="l"/>
        <c:majorTickMark val="out"/>
        <c:minorTickMark val="none"/>
        <c:tickLblPos val="nextTo"/>
        <c:crossAx val="6781632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EAE2-184D-A070-0FE94F334AC4}"/>
              </c:ext>
            </c:extLst>
          </c:dPt>
          <c:val>
            <c:numRef>
              <c:f>'Solar Photovoltaic'!$F$13</c:f>
              <c:numCache>
                <c:formatCode>0%</c:formatCode>
                <c:ptCount val="1"/>
                <c:pt idx="0">
                  <c:v>1</c:v>
                </c:pt>
              </c:numCache>
            </c:numRef>
          </c:val>
          <c:extLst>
            <c:ext xmlns:c16="http://schemas.microsoft.com/office/drawing/2014/chart" uri="{C3380CC4-5D6E-409C-BE32-E72D297353CC}">
              <c16:uniqueId val="{00000002-EAE2-184D-A070-0FE94F334AC4}"/>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EAE2-184D-A070-0FE94F334AC4}"/>
              </c:ext>
            </c:extLst>
          </c:dPt>
          <c:val>
            <c:numRef>
              <c:f>'Solar Photovoltaic'!$G$13</c:f>
              <c:numCache>
                <c:formatCode>0%</c:formatCode>
                <c:ptCount val="1"/>
                <c:pt idx="0">
                  <c:v>0</c:v>
                </c:pt>
              </c:numCache>
            </c:numRef>
          </c:val>
          <c:extLst>
            <c:ext xmlns:c16="http://schemas.microsoft.com/office/drawing/2014/chart" uri="{C3380CC4-5D6E-409C-BE32-E72D297353CC}">
              <c16:uniqueId val="{00000005-EAE2-184D-A070-0FE94F334AC4}"/>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EAE2-184D-A070-0FE94F334AC4}"/>
              </c:ext>
            </c:extLst>
          </c:dPt>
          <c:val>
            <c:numRef>
              <c:f>'Solar Photovoltaic'!$H$13</c:f>
              <c:numCache>
                <c:formatCode>0%</c:formatCode>
                <c:ptCount val="1"/>
                <c:pt idx="0">
                  <c:v>0</c:v>
                </c:pt>
              </c:numCache>
            </c:numRef>
          </c:val>
          <c:extLst>
            <c:ext xmlns:c16="http://schemas.microsoft.com/office/drawing/2014/chart" uri="{C3380CC4-5D6E-409C-BE32-E72D297353CC}">
              <c16:uniqueId val="{00000008-EAE2-184D-A070-0FE94F334AC4}"/>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EAE2-184D-A070-0FE94F334AC4}"/>
              </c:ext>
            </c:extLst>
          </c:dPt>
          <c:val>
            <c:numRef>
              <c:f>'Solar Photovoltaic'!$I$13</c:f>
              <c:numCache>
                <c:formatCode>0%</c:formatCode>
                <c:ptCount val="1"/>
                <c:pt idx="0">
                  <c:v>0</c:v>
                </c:pt>
              </c:numCache>
            </c:numRef>
          </c:val>
          <c:extLst>
            <c:ext xmlns:c16="http://schemas.microsoft.com/office/drawing/2014/chart" uri="{C3380CC4-5D6E-409C-BE32-E72D297353CC}">
              <c16:uniqueId val="{0000000B-EAE2-184D-A070-0FE94F334AC4}"/>
            </c:ext>
          </c:extLst>
        </c:ser>
        <c:dLbls>
          <c:showLegendKey val="0"/>
          <c:showVal val="0"/>
          <c:showCatName val="0"/>
          <c:showSerName val="0"/>
          <c:showPercent val="0"/>
          <c:showBubbleSize val="0"/>
        </c:dLbls>
        <c:gapWidth val="0"/>
        <c:overlap val="100"/>
        <c:axId val="41310944"/>
        <c:axId val="41308112"/>
      </c:barChart>
      <c:valAx>
        <c:axId val="41308112"/>
        <c:scaling>
          <c:orientation val="minMax"/>
        </c:scaling>
        <c:delete val="1"/>
        <c:axPos val="b"/>
        <c:numFmt formatCode="0%" sourceLinked="1"/>
        <c:majorTickMark val="out"/>
        <c:minorTickMark val="none"/>
        <c:tickLblPos val="nextTo"/>
        <c:crossAx val="41310944"/>
        <c:crosses val="autoZero"/>
        <c:crossBetween val="between"/>
      </c:valAx>
      <c:catAx>
        <c:axId val="41310944"/>
        <c:scaling>
          <c:orientation val="minMax"/>
        </c:scaling>
        <c:delete val="1"/>
        <c:axPos val="l"/>
        <c:majorTickMark val="out"/>
        <c:minorTickMark val="none"/>
        <c:tickLblPos val="nextTo"/>
        <c:crossAx val="4130811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'Solar Photovoltaic'!$W$13</c:f>
              <c:numCache>
                <c:formatCode>0%</c:formatCode>
                <c:ptCount val="1"/>
                <c:pt idx="0">
                  <c:v>1</c:v>
                </c:pt>
              </c:numCache>
            </c:numRef>
          </c:val>
          <c:extLst>
            <c:ext xmlns:c16="http://schemas.microsoft.com/office/drawing/2014/chart" uri="{C3380CC4-5D6E-409C-BE32-E72D297353CC}">
              <c16:uniqueId val="{00000000-1A77-724D-A5BF-B707C640BBBB}"/>
            </c:ext>
          </c:extLst>
        </c:ser>
        <c:ser>
          <c:idx val="0"/>
          <c:order val="1"/>
          <c:tx>
            <c:v>Surface</c:v>
          </c:tx>
          <c:spPr>
            <a:solidFill>
              <a:srgbClr val="335C89"/>
            </a:solidFill>
            <a:ln w="19050">
              <a:solidFill>
                <a:schemeClr val="lt1"/>
              </a:solidFill>
            </a:ln>
            <a:effectLst/>
          </c:spPr>
          <c:invertIfNegative val="0"/>
          <c:val>
            <c:numRef>
              <c:f>'Solar Photovoltaic'!$X$13</c:f>
              <c:numCache>
                <c:formatCode>0%</c:formatCode>
                <c:ptCount val="1"/>
                <c:pt idx="0">
                  <c:v>0</c:v>
                </c:pt>
              </c:numCache>
            </c:numRef>
          </c:val>
          <c:extLst>
            <c:ext xmlns:c16="http://schemas.microsoft.com/office/drawing/2014/chart" uri="{C3380CC4-5D6E-409C-BE32-E72D297353CC}">
              <c16:uniqueId val="{00000001-1A77-724D-A5BF-B707C640BBBB}"/>
            </c:ext>
          </c:extLst>
        </c:ser>
        <c:ser>
          <c:idx val="2"/>
          <c:order val="2"/>
          <c:tx>
            <c:v>Reuse</c:v>
          </c:tx>
          <c:spPr>
            <a:solidFill>
              <a:srgbClr val="19416C"/>
            </a:solidFill>
            <a:ln w="19050">
              <a:solidFill>
                <a:schemeClr val="lt1"/>
              </a:solidFill>
            </a:ln>
            <a:effectLst/>
          </c:spPr>
          <c:invertIfNegative val="0"/>
          <c:val>
            <c:numRef>
              <c:f>'Solar Photovoltaic'!$Y$13</c:f>
              <c:numCache>
                <c:formatCode>0%</c:formatCode>
                <c:ptCount val="1"/>
                <c:pt idx="0">
                  <c:v>0</c:v>
                </c:pt>
              </c:numCache>
            </c:numRef>
          </c:val>
          <c:extLst>
            <c:ext xmlns:c16="http://schemas.microsoft.com/office/drawing/2014/chart" uri="{C3380CC4-5D6E-409C-BE32-E72D297353CC}">
              <c16:uniqueId val="{00000002-1A77-724D-A5BF-B707C640BBBB}"/>
            </c:ext>
          </c:extLst>
        </c:ser>
        <c:dLbls>
          <c:showLegendKey val="0"/>
          <c:showVal val="0"/>
          <c:showCatName val="0"/>
          <c:showSerName val="0"/>
          <c:showPercent val="0"/>
          <c:showBubbleSize val="0"/>
        </c:dLbls>
        <c:gapWidth val="0"/>
        <c:overlap val="100"/>
        <c:axId val="41338832"/>
        <c:axId val="41336512"/>
      </c:barChart>
      <c:valAx>
        <c:axId val="41336512"/>
        <c:scaling>
          <c:orientation val="minMax"/>
        </c:scaling>
        <c:delete val="1"/>
        <c:axPos val="b"/>
        <c:numFmt formatCode="0%" sourceLinked="0"/>
        <c:majorTickMark val="out"/>
        <c:minorTickMark val="none"/>
        <c:tickLblPos val="nextTo"/>
        <c:crossAx val="41338832"/>
        <c:crosses val="autoZero"/>
        <c:crossBetween val="between"/>
      </c:valAx>
      <c:catAx>
        <c:axId val="41338832"/>
        <c:scaling>
          <c:orientation val="minMax"/>
        </c:scaling>
        <c:delete val="1"/>
        <c:axPos val="l"/>
        <c:majorTickMark val="out"/>
        <c:minorTickMark val="none"/>
        <c:tickLblPos val="nextTo"/>
        <c:crossAx val="4133651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'Solar Photovoltaic'!$R$13</c:f>
              <c:numCache>
                <c:formatCode>0%</c:formatCode>
                <c:ptCount val="1"/>
                <c:pt idx="0">
                  <c:v>1</c:v>
                </c:pt>
              </c:numCache>
            </c:numRef>
          </c:val>
          <c:extLst>
            <c:ext xmlns:c16="http://schemas.microsoft.com/office/drawing/2014/chart" uri="{C3380CC4-5D6E-409C-BE32-E72D297353CC}">
              <c16:uniqueId val="{00000000-4B93-474D-9C13-290DA5BFABBE}"/>
            </c:ext>
          </c:extLst>
        </c:ser>
        <c:ser>
          <c:idx val="1"/>
          <c:order val="1"/>
          <c:tx>
            <c:v>Brackish</c:v>
          </c:tx>
          <c:spPr>
            <a:solidFill>
              <a:srgbClr val="98D862"/>
            </a:solidFill>
            <a:ln w="19050">
              <a:solidFill>
                <a:schemeClr val="lt1"/>
              </a:solidFill>
            </a:ln>
            <a:effectLst/>
          </c:spPr>
          <c:invertIfNegative val="0"/>
          <c:val>
            <c:numRef>
              <c:f>'Solar Photovoltaic'!$S$13</c:f>
              <c:numCache>
                <c:formatCode>0%</c:formatCode>
                <c:ptCount val="1"/>
                <c:pt idx="0">
                  <c:v>0</c:v>
                </c:pt>
              </c:numCache>
            </c:numRef>
          </c:val>
          <c:extLst>
            <c:ext xmlns:c16="http://schemas.microsoft.com/office/drawing/2014/chart" uri="{C3380CC4-5D6E-409C-BE32-E72D297353CC}">
              <c16:uniqueId val="{00000001-4B93-474D-9C13-290DA5BFABBE}"/>
            </c:ext>
          </c:extLst>
        </c:ser>
        <c:ser>
          <c:idx val="2"/>
          <c:order val="2"/>
          <c:tx>
            <c:v>Saline</c:v>
          </c:tx>
          <c:spPr>
            <a:solidFill>
              <a:srgbClr val="6EB739"/>
            </a:solidFill>
            <a:ln w="19050">
              <a:solidFill>
                <a:schemeClr val="lt1"/>
              </a:solidFill>
            </a:ln>
            <a:effectLst/>
          </c:spPr>
          <c:invertIfNegative val="0"/>
          <c:val>
            <c:numRef>
              <c:f>'Solar Photovoltaic'!$T$13</c:f>
              <c:numCache>
                <c:formatCode>0%</c:formatCode>
                <c:ptCount val="1"/>
                <c:pt idx="0">
                  <c:v>0</c:v>
                </c:pt>
              </c:numCache>
            </c:numRef>
          </c:val>
          <c:extLst>
            <c:ext xmlns:c16="http://schemas.microsoft.com/office/drawing/2014/chart" uri="{C3380CC4-5D6E-409C-BE32-E72D297353CC}">
              <c16:uniqueId val="{00000002-4B93-474D-9C13-290DA5BFABBE}"/>
            </c:ext>
          </c:extLst>
        </c:ser>
        <c:ser>
          <c:idx val="3"/>
          <c:order val="3"/>
          <c:tx>
            <c:v>Not RO</c:v>
          </c:tx>
          <c:spPr>
            <a:solidFill>
              <a:srgbClr val="5A9D2C"/>
            </a:solidFill>
            <a:ln w="19050">
              <a:solidFill>
                <a:schemeClr val="lt1"/>
              </a:solidFill>
            </a:ln>
            <a:effectLst/>
          </c:spPr>
          <c:invertIfNegative val="0"/>
          <c:val>
            <c:numRef>
              <c:f>'Solar Photovoltaic'!$U$13</c:f>
              <c:numCache>
                <c:formatCode>0%</c:formatCode>
                <c:ptCount val="1"/>
                <c:pt idx="0">
                  <c:v>0</c:v>
                </c:pt>
              </c:numCache>
            </c:numRef>
          </c:val>
          <c:extLst>
            <c:ext xmlns:c16="http://schemas.microsoft.com/office/drawing/2014/chart" uri="{C3380CC4-5D6E-409C-BE32-E72D297353CC}">
              <c16:uniqueId val="{00000003-4B93-474D-9C13-290DA5BFABBE}"/>
            </c:ext>
          </c:extLst>
        </c:ser>
        <c:dLbls>
          <c:showLegendKey val="0"/>
          <c:showVal val="0"/>
          <c:showCatName val="0"/>
          <c:showSerName val="0"/>
          <c:showPercent val="0"/>
          <c:showBubbleSize val="0"/>
        </c:dLbls>
        <c:gapWidth val="0"/>
        <c:overlap val="100"/>
        <c:axId val="41372112"/>
        <c:axId val="41369280"/>
      </c:barChart>
      <c:valAx>
        <c:axId val="41369280"/>
        <c:scaling>
          <c:orientation val="minMax"/>
        </c:scaling>
        <c:delete val="1"/>
        <c:axPos val="b"/>
        <c:numFmt formatCode="0%" sourceLinked="1"/>
        <c:majorTickMark val="out"/>
        <c:minorTickMark val="none"/>
        <c:tickLblPos val="nextTo"/>
        <c:crossAx val="41372112"/>
        <c:crosses val="autoZero"/>
        <c:crossBetween val="between"/>
      </c:valAx>
      <c:catAx>
        <c:axId val="41372112"/>
        <c:scaling>
          <c:orientation val="minMax"/>
        </c:scaling>
        <c:delete val="1"/>
        <c:axPos val="l"/>
        <c:majorTickMark val="out"/>
        <c:minorTickMark val="none"/>
        <c:tickLblPos val="nextTo"/>
        <c:crossAx val="4136928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'Solar Thermal'!$B$15:$B$18</c:f>
              <c:strCache>
                <c:ptCount val="4"/>
                <c:pt idx="0">
                  <c:v>Mirror washing</c:v>
                </c:pt>
                <c:pt idx="3">
                  <c:v>Power plant cooling</c:v>
                </c:pt>
              </c:strCache>
            </c:strRef>
          </c:cat>
          <c:val>
            <c:numRef>
              <c:f>'Solar Thermal'!$C$15:$C$18</c:f>
              <c:numCache>
                <c:formatCode>General</c:formatCode>
                <c:ptCount val="4"/>
                <c:pt idx="0" formatCode="0.0E+00">
                  <c:v>175752</c:v>
                </c:pt>
                <c:pt idx="3" formatCode="0.0E+00">
                  <c:v>8054850.8163088858</c:v>
                </c:pt>
              </c:numCache>
            </c:numRef>
          </c:val>
          <c:extLst>
            <c:ext xmlns:c16="http://schemas.microsoft.com/office/drawing/2014/chart" uri="{C3380CC4-5D6E-409C-BE32-E72D297353CC}">
              <c16:uniqueId val="{00000000-E314-EB49-9DA9-952464B26CFD}"/>
            </c:ext>
          </c:extLst>
        </c:ser>
        <c:dLbls>
          <c:showLegendKey val="0"/>
          <c:showVal val="0"/>
          <c:showCatName val="0"/>
          <c:showSerName val="0"/>
          <c:showPercent val="0"/>
          <c:showBubbleSize val="0"/>
        </c:dLbls>
        <c:gapWidth val="0"/>
        <c:axId val="41403616"/>
        <c:axId val="41405936"/>
      </c:barChart>
      <c:catAx>
        <c:axId val="4140361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41405936"/>
        <c:crosses val="autoZero"/>
        <c:auto val="1"/>
        <c:lblAlgn val="ctr"/>
        <c:lblOffset val="0"/>
        <c:noMultiLvlLbl val="0"/>
      </c:catAx>
      <c:valAx>
        <c:axId val="41405936"/>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41403616"/>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'Solar Thermal'!$B$15:$B$18</c:f>
              <c:strCache>
                <c:ptCount val="4"/>
                <c:pt idx="0">
                  <c:v>Mirror washing</c:v>
                </c:pt>
                <c:pt idx="3">
                  <c:v>Power plant cooling</c:v>
                </c:pt>
              </c:strCache>
            </c:strRef>
          </c:cat>
          <c:val>
            <c:numRef>
              <c:f>'Solar Thermal'!$O$15:$O$18</c:f>
              <c:numCache>
                <c:formatCode>General</c:formatCode>
                <c:ptCount val="4"/>
                <c:pt idx="0" formatCode="0.0E+00">
                  <c:v>175752</c:v>
                </c:pt>
                <c:pt idx="3" formatCode="0.0E+00">
                  <c:v>13564665.870376095</c:v>
                </c:pt>
              </c:numCache>
            </c:numRef>
          </c:val>
          <c:extLst>
            <c:ext xmlns:c16="http://schemas.microsoft.com/office/drawing/2014/chart" uri="{C3380CC4-5D6E-409C-BE32-E72D297353CC}">
              <c16:uniqueId val="{00000000-0FC5-F34F-9316-16E89050867D}"/>
            </c:ext>
          </c:extLst>
        </c:ser>
        <c:dLbls>
          <c:showLegendKey val="0"/>
          <c:showVal val="0"/>
          <c:showCatName val="0"/>
          <c:showSerName val="0"/>
          <c:showPercent val="0"/>
          <c:showBubbleSize val="0"/>
        </c:dLbls>
        <c:gapWidth val="0"/>
        <c:axId val="67199040"/>
        <c:axId val="67201360"/>
      </c:barChart>
      <c:catAx>
        <c:axId val="6719904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201360"/>
        <c:crosses val="autoZero"/>
        <c:auto val="1"/>
        <c:lblAlgn val="ctr"/>
        <c:lblOffset val="0"/>
        <c:noMultiLvlLbl val="0"/>
      </c:catAx>
      <c:valAx>
        <c:axId val="67201360"/>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199040"/>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'Solar Thermal'!$K$13</c:f>
              <c:numCache>
                <c:formatCode>0%</c:formatCode>
                <c:ptCount val="1"/>
                <c:pt idx="0">
                  <c:v>0.73628829464927503</c:v>
                </c:pt>
              </c:numCache>
            </c:numRef>
          </c:val>
          <c:extLst>
            <c:ext xmlns:c16="http://schemas.microsoft.com/office/drawing/2014/chart" uri="{C3380CC4-5D6E-409C-BE32-E72D297353CC}">
              <c16:uniqueId val="{00000000-29E8-7C43-AEA1-4A21FE394EFF}"/>
            </c:ext>
          </c:extLst>
        </c:ser>
        <c:ser>
          <c:idx val="0"/>
          <c:order val="1"/>
          <c:tx>
            <c:v>Surface</c:v>
          </c:tx>
          <c:spPr>
            <a:solidFill>
              <a:srgbClr val="335C89"/>
            </a:solidFill>
            <a:ln w="19050">
              <a:solidFill>
                <a:schemeClr val="lt1"/>
              </a:solidFill>
            </a:ln>
            <a:effectLst/>
          </c:spPr>
          <c:invertIfNegative val="0"/>
          <c:val>
            <c:numRef>
              <c:f>'Solar Thermal'!$L$13</c:f>
              <c:numCache>
                <c:formatCode>0%</c:formatCode>
                <c:ptCount val="1"/>
                <c:pt idx="0">
                  <c:v>0.26371170535072502</c:v>
                </c:pt>
              </c:numCache>
            </c:numRef>
          </c:val>
          <c:extLst>
            <c:ext xmlns:c16="http://schemas.microsoft.com/office/drawing/2014/chart" uri="{C3380CC4-5D6E-409C-BE32-E72D297353CC}">
              <c16:uniqueId val="{00000001-29E8-7C43-AEA1-4A21FE394EFF}"/>
            </c:ext>
          </c:extLst>
        </c:ser>
        <c:ser>
          <c:idx val="2"/>
          <c:order val="2"/>
          <c:tx>
            <c:v>Reuse</c:v>
          </c:tx>
          <c:spPr>
            <a:solidFill>
              <a:srgbClr val="19416C"/>
            </a:solidFill>
            <a:ln w="19050">
              <a:solidFill>
                <a:schemeClr val="lt1"/>
              </a:solidFill>
            </a:ln>
            <a:effectLst/>
          </c:spPr>
          <c:invertIfNegative val="0"/>
          <c:val>
            <c:numRef>
              <c:f>'Solar Thermal'!$M$13</c:f>
              <c:numCache>
                <c:formatCode>0%</c:formatCode>
                <c:ptCount val="1"/>
                <c:pt idx="0">
                  <c:v>0</c:v>
                </c:pt>
              </c:numCache>
            </c:numRef>
          </c:val>
          <c:extLst>
            <c:ext xmlns:c16="http://schemas.microsoft.com/office/drawing/2014/chart" uri="{C3380CC4-5D6E-409C-BE32-E72D297353CC}">
              <c16:uniqueId val="{00000002-29E8-7C43-AEA1-4A21FE394EFF}"/>
            </c:ext>
          </c:extLst>
        </c:ser>
        <c:dLbls>
          <c:showLegendKey val="0"/>
          <c:showVal val="0"/>
          <c:showCatName val="0"/>
          <c:showSerName val="0"/>
          <c:showPercent val="0"/>
          <c:showBubbleSize val="0"/>
        </c:dLbls>
        <c:gapWidth val="0"/>
        <c:overlap val="100"/>
        <c:axId val="67233136"/>
        <c:axId val="67230816"/>
      </c:barChart>
      <c:valAx>
        <c:axId val="67230816"/>
        <c:scaling>
          <c:orientation val="minMax"/>
        </c:scaling>
        <c:delete val="1"/>
        <c:axPos val="b"/>
        <c:numFmt formatCode="0%" sourceLinked="0"/>
        <c:majorTickMark val="out"/>
        <c:minorTickMark val="none"/>
        <c:tickLblPos val="nextTo"/>
        <c:crossAx val="67233136"/>
        <c:crosses val="autoZero"/>
        <c:crossBetween val="between"/>
      </c:valAx>
      <c:catAx>
        <c:axId val="67233136"/>
        <c:scaling>
          <c:orientation val="minMax"/>
        </c:scaling>
        <c:delete val="1"/>
        <c:axPos val="l"/>
        <c:majorTickMark val="out"/>
        <c:minorTickMark val="none"/>
        <c:tickLblPos val="nextTo"/>
        <c:crossAx val="672308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180A-944C-9BFE-D8C636C0A136}"/>
              </c:ext>
            </c:extLst>
          </c:dPt>
          <c:val>
            <c:numRef>
              <c:f>'Solar Thermal'!$F$13</c:f>
              <c:numCache>
                <c:formatCode>0%</c:formatCode>
                <c:ptCount val="1"/>
                <c:pt idx="0">
                  <c:v>0.97502656701937662</c:v>
                </c:pt>
              </c:numCache>
            </c:numRef>
          </c:val>
          <c:extLst>
            <c:ext xmlns:c16="http://schemas.microsoft.com/office/drawing/2014/chart" uri="{C3380CC4-5D6E-409C-BE32-E72D297353CC}">
              <c16:uniqueId val="{00000002-180A-944C-9BFE-D8C636C0A136}"/>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180A-944C-9BFE-D8C636C0A136}"/>
              </c:ext>
            </c:extLst>
          </c:dPt>
          <c:val>
            <c:numRef>
              <c:f>'Solar Thermal'!$G$13</c:f>
              <c:numCache>
                <c:formatCode>0%</c:formatCode>
                <c:ptCount val="1"/>
                <c:pt idx="0">
                  <c:v>2.4973432980623374E-2</c:v>
                </c:pt>
              </c:numCache>
            </c:numRef>
          </c:val>
          <c:extLst>
            <c:ext xmlns:c16="http://schemas.microsoft.com/office/drawing/2014/chart" uri="{C3380CC4-5D6E-409C-BE32-E72D297353CC}">
              <c16:uniqueId val="{00000005-180A-944C-9BFE-D8C636C0A136}"/>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180A-944C-9BFE-D8C636C0A136}"/>
              </c:ext>
            </c:extLst>
          </c:dPt>
          <c:val>
            <c:numRef>
              <c:f>'Solar Thermal'!$H$13</c:f>
              <c:numCache>
                <c:formatCode>0%</c:formatCode>
                <c:ptCount val="1"/>
                <c:pt idx="0">
                  <c:v>0</c:v>
                </c:pt>
              </c:numCache>
            </c:numRef>
          </c:val>
          <c:extLst>
            <c:ext xmlns:c16="http://schemas.microsoft.com/office/drawing/2014/chart" uri="{C3380CC4-5D6E-409C-BE32-E72D297353CC}">
              <c16:uniqueId val="{00000008-180A-944C-9BFE-D8C636C0A136}"/>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180A-944C-9BFE-D8C636C0A136}"/>
              </c:ext>
            </c:extLst>
          </c:dPt>
          <c:val>
            <c:numRef>
              <c:f>'Solar Thermal'!$I$13</c:f>
              <c:numCache>
                <c:formatCode>0%</c:formatCode>
                <c:ptCount val="1"/>
                <c:pt idx="0">
                  <c:v>0</c:v>
                </c:pt>
              </c:numCache>
            </c:numRef>
          </c:val>
          <c:extLst>
            <c:ext xmlns:c16="http://schemas.microsoft.com/office/drawing/2014/chart" uri="{C3380CC4-5D6E-409C-BE32-E72D297353CC}">
              <c16:uniqueId val="{0000000B-180A-944C-9BFE-D8C636C0A136}"/>
            </c:ext>
          </c:extLst>
        </c:ser>
        <c:dLbls>
          <c:showLegendKey val="0"/>
          <c:showVal val="0"/>
          <c:showCatName val="0"/>
          <c:showSerName val="0"/>
          <c:showPercent val="0"/>
          <c:showBubbleSize val="0"/>
        </c:dLbls>
        <c:gapWidth val="0"/>
        <c:overlap val="100"/>
        <c:axId val="67265408"/>
        <c:axId val="67262576"/>
      </c:barChart>
      <c:valAx>
        <c:axId val="67262576"/>
        <c:scaling>
          <c:orientation val="minMax"/>
          <c:min val="0"/>
        </c:scaling>
        <c:delete val="1"/>
        <c:axPos val="b"/>
        <c:numFmt formatCode="0%" sourceLinked="1"/>
        <c:majorTickMark val="out"/>
        <c:minorTickMark val="none"/>
        <c:tickLblPos val="nextTo"/>
        <c:crossAx val="67265408"/>
        <c:crosses val="autoZero"/>
        <c:crossBetween val="between"/>
      </c:valAx>
      <c:catAx>
        <c:axId val="67265408"/>
        <c:scaling>
          <c:orientation val="minMax"/>
        </c:scaling>
        <c:delete val="1"/>
        <c:axPos val="l"/>
        <c:majorTickMark val="out"/>
        <c:minorTickMark val="none"/>
        <c:tickLblPos val="nextTo"/>
        <c:crossAx val="6726257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'Solar Thermal'!$W$13</c:f>
              <c:numCache>
                <c:formatCode>0%</c:formatCode>
                <c:ptCount val="1"/>
                <c:pt idx="0">
                  <c:v>0.44229493379472756</c:v>
                </c:pt>
              </c:numCache>
            </c:numRef>
          </c:val>
          <c:extLst>
            <c:ext xmlns:c16="http://schemas.microsoft.com/office/drawing/2014/chart" uri="{C3380CC4-5D6E-409C-BE32-E72D297353CC}">
              <c16:uniqueId val="{00000000-9493-8A46-BC3C-C0EAAC471106}"/>
            </c:ext>
          </c:extLst>
        </c:ser>
        <c:ser>
          <c:idx val="0"/>
          <c:order val="1"/>
          <c:tx>
            <c:v>Surface</c:v>
          </c:tx>
          <c:spPr>
            <a:solidFill>
              <a:srgbClr val="335C89"/>
            </a:solidFill>
            <a:ln w="19050">
              <a:solidFill>
                <a:schemeClr val="lt1"/>
              </a:solidFill>
            </a:ln>
            <a:effectLst/>
          </c:spPr>
          <c:invertIfNegative val="0"/>
          <c:val>
            <c:numRef>
              <c:f>'Solar Thermal'!$X$13</c:f>
              <c:numCache>
                <c:formatCode>0%</c:formatCode>
                <c:ptCount val="1"/>
                <c:pt idx="0">
                  <c:v>0.55770506620527238</c:v>
                </c:pt>
              </c:numCache>
            </c:numRef>
          </c:val>
          <c:extLst>
            <c:ext xmlns:c16="http://schemas.microsoft.com/office/drawing/2014/chart" uri="{C3380CC4-5D6E-409C-BE32-E72D297353CC}">
              <c16:uniqueId val="{00000001-9493-8A46-BC3C-C0EAAC471106}"/>
            </c:ext>
          </c:extLst>
        </c:ser>
        <c:ser>
          <c:idx val="2"/>
          <c:order val="2"/>
          <c:tx>
            <c:v>Reuse</c:v>
          </c:tx>
          <c:spPr>
            <a:solidFill>
              <a:srgbClr val="19416C"/>
            </a:solidFill>
            <a:ln w="19050">
              <a:solidFill>
                <a:schemeClr val="lt1"/>
              </a:solidFill>
            </a:ln>
            <a:effectLst/>
          </c:spPr>
          <c:invertIfNegative val="0"/>
          <c:val>
            <c:numRef>
              <c:f>'Solar Thermal'!$Y$13</c:f>
              <c:numCache>
                <c:formatCode>0%</c:formatCode>
                <c:ptCount val="1"/>
                <c:pt idx="0">
                  <c:v>0</c:v>
                </c:pt>
              </c:numCache>
            </c:numRef>
          </c:val>
          <c:extLst>
            <c:ext xmlns:c16="http://schemas.microsoft.com/office/drawing/2014/chart" uri="{C3380CC4-5D6E-409C-BE32-E72D297353CC}">
              <c16:uniqueId val="{00000002-9493-8A46-BC3C-C0EAAC471106}"/>
            </c:ext>
          </c:extLst>
        </c:ser>
        <c:dLbls>
          <c:showLegendKey val="0"/>
          <c:showVal val="0"/>
          <c:showCatName val="0"/>
          <c:showSerName val="0"/>
          <c:showPercent val="0"/>
          <c:showBubbleSize val="0"/>
        </c:dLbls>
        <c:gapWidth val="0"/>
        <c:overlap val="100"/>
        <c:axId val="67295936"/>
        <c:axId val="67293616"/>
      </c:barChart>
      <c:valAx>
        <c:axId val="67293616"/>
        <c:scaling>
          <c:orientation val="minMax"/>
        </c:scaling>
        <c:delete val="1"/>
        <c:axPos val="b"/>
        <c:numFmt formatCode="#,##0.0" sourceLinked="0"/>
        <c:majorTickMark val="out"/>
        <c:minorTickMark val="none"/>
        <c:tickLblPos val="nextTo"/>
        <c:crossAx val="67295936"/>
        <c:crosses val="autoZero"/>
        <c:crossBetween val="between"/>
      </c:valAx>
      <c:catAx>
        <c:axId val="67295936"/>
        <c:scaling>
          <c:orientation val="minMax"/>
        </c:scaling>
        <c:delete val="1"/>
        <c:axPos val="l"/>
        <c:majorTickMark val="out"/>
        <c:minorTickMark val="none"/>
        <c:tickLblPos val="nextTo"/>
        <c:crossAx val="672936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'Solar Thermal'!$R$13</c:f>
              <c:numCache>
                <c:formatCode>0%</c:formatCode>
                <c:ptCount val="1"/>
                <c:pt idx="0">
                  <c:v>0.9850407455026261</c:v>
                </c:pt>
              </c:numCache>
            </c:numRef>
          </c:val>
          <c:extLst>
            <c:ext xmlns:c16="http://schemas.microsoft.com/office/drawing/2014/chart" uri="{C3380CC4-5D6E-409C-BE32-E72D297353CC}">
              <c16:uniqueId val="{00000000-3A1D-8543-8F5A-55A894E98CC6}"/>
            </c:ext>
          </c:extLst>
        </c:ser>
        <c:ser>
          <c:idx val="1"/>
          <c:order val="1"/>
          <c:tx>
            <c:v>Brackish</c:v>
          </c:tx>
          <c:spPr>
            <a:solidFill>
              <a:srgbClr val="98D862"/>
            </a:solidFill>
            <a:ln w="19050">
              <a:solidFill>
                <a:schemeClr val="lt1"/>
              </a:solidFill>
            </a:ln>
            <a:effectLst/>
          </c:spPr>
          <c:invertIfNegative val="0"/>
          <c:val>
            <c:numRef>
              <c:f>'Solar Thermal'!$S$13</c:f>
              <c:numCache>
                <c:formatCode>0%</c:formatCode>
                <c:ptCount val="1"/>
                <c:pt idx="0">
                  <c:v>1.4959254497373875E-2</c:v>
                </c:pt>
              </c:numCache>
            </c:numRef>
          </c:val>
          <c:extLst>
            <c:ext xmlns:c16="http://schemas.microsoft.com/office/drawing/2014/chart" uri="{C3380CC4-5D6E-409C-BE32-E72D297353CC}">
              <c16:uniqueId val="{00000001-3A1D-8543-8F5A-55A894E98CC6}"/>
            </c:ext>
          </c:extLst>
        </c:ser>
        <c:ser>
          <c:idx val="2"/>
          <c:order val="2"/>
          <c:tx>
            <c:v>Saline</c:v>
          </c:tx>
          <c:spPr>
            <a:solidFill>
              <a:srgbClr val="6EB739"/>
            </a:solidFill>
            <a:ln w="19050">
              <a:solidFill>
                <a:schemeClr val="lt1"/>
              </a:solidFill>
            </a:ln>
            <a:effectLst/>
          </c:spPr>
          <c:invertIfNegative val="0"/>
          <c:val>
            <c:numRef>
              <c:f>'Solar Thermal'!$T$13</c:f>
              <c:numCache>
                <c:formatCode>0%</c:formatCode>
                <c:ptCount val="1"/>
                <c:pt idx="0">
                  <c:v>0</c:v>
                </c:pt>
              </c:numCache>
            </c:numRef>
          </c:val>
          <c:extLst>
            <c:ext xmlns:c16="http://schemas.microsoft.com/office/drawing/2014/chart" uri="{C3380CC4-5D6E-409C-BE32-E72D297353CC}">
              <c16:uniqueId val="{00000002-3A1D-8543-8F5A-55A894E98CC6}"/>
            </c:ext>
          </c:extLst>
        </c:ser>
        <c:ser>
          <c:idx val="3"/>
          <c:order val="3"/>
          <c:tx>
            <c:v>Not RO</c:v>
          </c:tx>
          <c:spPr>
            <a:solidFill>
              <a:srgbClr val="5A9D2C"/>
            </a:solidFill>
            <a:ln w="19050">
              <a:solidFill>
                <a:schemeClr val="lt1"/>
              </a:solidFill>
            </a:ln>
            <a:effectLst/>
          </c:spPr>
          <c:invertIfNegative val="0"/>
          <c:val>
            <c:numRef>
              <c:f>'Solar Thermal'!$U$13</c:f>
              <c:numCache>
                <c:formatCode>0%</c:formatCode>
                <c:ptCount val="1"/>
                <c:pt idx="0">
                  <c:v>0</c:v>
                </c:pt>
              </c:numCache>
            </c:numRef>
          </c:val>
          <c:extLst>
            <c:ext xmlns:c16="http://schemas.microsoft.com/office/drawing/2014/chart" uri="{C3380CC4-5D6E-409C-BE32-E72D297353CC}">
              <c16:uniqueId val="{00000003-3A1D-8543-8F5A-55A894E98CC6}"/>
            </c:ext>
          </c:extLst>
        </c:ser>
        <c:dLbls>
          <c:showLegendKey val="0"/>
          <c:showVal val="0"/>
          <c:showCatName val="0"/>
          <c:showSerName val="0"/>
          <c:showPercent val="0"/>
          <c:showBubbleSize val="0"/>
        </c:dLbls>
        <c:gapWidth val="0"/>
        <c:overlap val="100"/>
        <c:axId val="67316432"/>
        <c:axId val="67313600"/>
      </c:barChart>
      <c:valAx>
        <c:axId val="67313600"/>
        <c:scaling>
          <c:orientation val="minMax"/>
          <c:min val="0"/>
        </c:scaling>
        <c:delete val="1"/>
        <c:axPos val="b"/>
        <c:numFmt formatCode="0%" sourceLinked="0"/>
        <c:majorTickMark val="out"/>
        <c:minorTickMark val="none"/>
        <c:tickLblPos val="nextTo"/>
        <c:crossAx val="67316432"/>
        <c:crosses val="autoZero"/>
        <c:crossBetween val="between"/>
      </c:valAx>
      <c:catAx>
        <c:axId val="67316432"/>
        <c:scaling>
          <c:orientation val="minMax"/>
        </c:scaling>
        <c:delete val="1"/>
        <c:axPos val="l"/>
        <c:majorTickMark val="out"/>
        <c:minorTickMark val="none"/>
        <c:tickLblPos val="nextTo"/>
        <c:crossAx val="673136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Oil!$W$13</c:f>
              <c:numCache>
                <c:formatCode>0%</c:formatCode>
                <c:ptCount val="1"/>
                <c:pt idx="0">
                  <c:v>0.59272897308602479</c:v>
                </c:pt>
              </c:numCache>
            </c:numRef>
          </c:val>
          <c:extLst>
            <c:ext xmlns:c16="http://schemas.microsoft.com/office/drawing/2014/chart" uri="{C3380CC4-5D6E-409C-BE32-E72D297353CC}">
              <c16:uniqueId val="{00000000-05E3-2E47-8CE9-2971B2265B2E}"/>
            </c:ext>
          </c:extLst>
        </c:ser>
        <c:ser>
          <c:idx val="0"/>
          <c:order val="1"/>
          <c:tx>
            <c:v>Surface</c:v>
          </c:tx>
          <c:spPr>
            <a:solidFill>
              <a:srgbClr val="335C89"/>
            </a:solidFill>
            <a:ln w="19050">
              <a:solidFill>
                <a:schemeClr val="lt1"/>
              </a:solidFill>
            </a:ln>
            <a:effectLst/>
          </c:spPr>
          <c:invertIfNegative val="0"/>
          <c:val>
            <c:numRef>
              <c:f>Oil!$X$13</c:f>
              <c:numCache>
                <c:formatCode>0%</c:formatCode>
                <c:ptCount val="1"/>
                <c:pt idx="0">
                  <c:v>0.40674021174021752</c:v>
                </c:pt>
              </c:numCache>
            </c:numRef>
          </c:val>
          <c:extLst>
            <c:ext xmlns:c16="http://schemas.microsoft.com/office/drawing/2014/chart" uri="{C3380CC4-5D6E-409C-BE32-E72D297353CC}">
              <c16:uniqueId val="{00000001-05E3-2E47-8CE9-2971B2265B2E}"/>
            </c:ext>
          </c:extLst>
        </c:ser>
        <c:ser>
          <c:idx val="2"/>
          <c:order val="2"/>
          <c:tx>
            <c:v>Reuse</c:v>
          </c:tx>
          <c:spPr>
            <a:solidFill>
              <a:srgbClr val="19416C"/>
            </a:solidFill>
            <a:ln w="19050">
              <a:solidFill>
                <a:schemeClr val="lt1"/>
              </a:solidFill>
            </a:ln>
            <a:effectLst/>
          </c:spPr>
          <c:invertIfNegative val="0"/>
          <c:val>
            <c:numRef>
              <c:f>Oil!$Y$13</c:f>
              <c:numCache>
                <c:formatCode>0%</c:formatCode>
                <c:ptCount val="1"/>
                <c:pt idx="0">
                  <c:v>5.3081517375769456E-4</c:v>
                </c:pt>
              </c:numCache>
            </c:numRef>
          </c:val>
          <c:extLst>
            <c:ext xmlns:c16="http://schemas.microsoft.com/office/drawing/2014/chart" uri="{C3380CC4-5D6E-409C-BE32-E72D297353CC}">
              <c16:uniqueId val="{00000002-05E3-2E47-8CE9-2971B2265B2E}"/>
            </c:ext>
          </c:extLst>
        </c:ser>
        <c:dLbls>
          <c:showLegendKey val="0"/>
          <c:showVal val="0"/>
          <c:showCatName val="0"/>
          <c:showSerName val="0"/>
          <c:showPercent val="0"/>
          <c:showBubbleSize val="0"/>
        </c:dLbls>
        <c:gapWidth val="0"/>
        <c:overlap val="100"/>
        <c:axId val="-29840128"/>
        <c:axId val="-29842448"/>
      </c:barChart>
      <c:valAx>
        <c:axId val="-29842448"/>
        <c:scaling>
          <c:orientation val="minMax"/>
        </c:scaling>
        <c:delete val="1"/>
        <c:axPos val="b"/>
        <c:numFmt formatCode="0%" sourceLinked="0"/>
        <c:majorTickMark val="out"/>
        <c:minorTickMark val="none"/>
        <c:tickLblPos val="nextTo"/>
        <c:crossAx val="-29840128"/>
        <c:crosses val="autoZero"/>
        <c:crossBetween val="between"/>
      </c:valAx>
      <c:catAx>
        <c:axId val="-29840128"/>
        <c:scaling>
          <c:orientation val="minMax"/>
        </c:scaling>
        <c:delete val="1"/>
        <c:axPos val="l"/>
        <c:majorTickMark val="out"/>
        <c:minorTickMark val="none"/>
        <c:tickLblPos val="nextTo"/>
        <c:crossAx val="-298424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Oil!$R$13</c:f>
              <c:numCache>
                <c:formatCode>0%</c:formatCode>
                <c:ptCount val="1"/>
                <c:pt idx="0">
                  <c:v>0.28664705332439316</c:v>
                </c:pt>
              </c:numCache>
            </c:numRef>
          </c:val>
          <c:extLst>
            <c:ext xmlns:c16="http://schemas.microsoft.com/office/drawing/2014/chart" uri="{C3380CC4-5D6E-409C-BE32-E72D297353CC}">
              <c16:uniqueId val="{00000000-BF90-E64E-9788-5852A0D37E07}"/>
            </c:ext>
          </c:extLst>
        </c:ser>
        <c:ser>
          <c:idx val="1"/>
          <c:order val="1"/>
          <c:tx>
            <c:v>Brackish</c:v>
          </c:tx>
          <c:spPr>
            <a:solidFill>
              <a:srgbClr val="98D862"/>
            </a:solidFill>
            <a:ln w="19050">
              <a:solidFill>
                <a:schemeClr val="lt1"/>
              </a:solidFill>
            </a:ln>
            <a:effectLst/>
          </c:spPr>
          <c:invertIfNegative val="0"/>
          <c:val>
            <c:numRef>
              <c:f>Oil!$S$13</c:f>
              <c:numCache>
                <c:formatCode>0%</c:formatCode>
                <c:ptCount val="1"/>
                <c:pt idx="0">
                  <c:v>7.5922528438949116E-2</c:v>
                </c:pt>
              </c:numCache>
            </c:numRef>
          </c:val>
          <c:extLst>
            <c:ext xmlns:c16="http://schemas.microsoft.com/office/drawing/2014/chart" uri="{C3380CC4-5D6E-409C-BE32-E72D297353CC}">
              <c16:uniqueId val="{00000001-BF90-E64E-9788-5852A0D37E07}"/>
            </c:ext>
          </c:extLst>
        </c:ser>
        <c:ser>
          <c:idx val="2"/>
          <c:order val="2"/>
          <c:tx>
            <c:v>Saline</c:v>
          </c:tx>
          <c:spPr>
            <a:solidFill>
              <a:srgbClr val="6EB739"/>
            </a:solidFill>
            <a:ln w="19050">
              <a:solidFill>
                <a:schemeClr val="lt1"/>
              </a:solidFill>
            </a:ln>
            <a:effectLst/>
          </c:spPr>
          <c:invertIfNegative val="0"/>
          <c:val>
            <c:numRef>
              <c:f>Oil!$T$13</c:f>
              <c:numCache>
                <c:formatCode>0%</c:formatCode>
                <c:ptCount val="1"/>
                <c:pt idx="0">
                  <c:v>0.26023337514539097</c:v>
                </c:pt>
              </c:numCache>
            </c:numRef>
          </c:val>
          <c:extLst>
            <c:ext xmlns:c16="http://schemas.microsoft.com/office/drawing/2014/chart" uri="{C3380CC4-5D6E-409C-BE32-E72D297353CC}">
              <c16:uniqueId val="{00000002-BF90-E64E-9788-5852A0D37E07}"/>
            </c:ext>
          </c:extLst>
        </c:ser>
        <c:ser>
          <c:idx val="3"/>
          <c:order val="3"/>
          <c:tx>
            <c:v>Not RO</c:v>
          </c:tx>
          <c:spPr>
            <a:solidFill>
              <a:srgbClr val="5A9D2C"/>
            </a:solidFill>
            <a:ln w="19050">
              <a:solidFill>
                <a:schemeClr val="lt1"/>
              </a:solidFill>
            </a:ln>
            <a:effectLst/>
          </c:spPr>
          <c:invertIfNegative val="0"/>
          <c:val>
            <c:numRef>
              <c:f>Oil!$U$13</c:f>
              <c:numCache>
                <c:formatCode>0%</c:formatCode>
                <c:ptCount val="1"/>
                <c:pt idx="0">
                  <c:v>0.37719704309126667</c:v>
                </c:pt>
              </c:numCache>
            </c:numRef>
          </c:val>
          <c:extLst>
            <c:ext xmlns:c16="http://schemas.microsoft.com/office/drawing/2014/chart" uri="{C3380CC4-5D6E-409C-BE32-E72D297353CC}">
              <c16:uniqueId val="{00000003-BF90-E64E-9788-5852A0D37E07}"/>
            </c:ext>
          </c:extLst>
        </c:ser>
        <c:dLbls>
          <c:showLegendKey val="0"/>
          <c:showVal val="0"/>
          <c:showCatName val="0"/>
          <c:showSerName val="0"/>
          <c:showPercent val="0"/>
          <c:showBubbleSize val="0"/>
        </c:dLbls>
        <c:gapWidth val="0"/>
        <c:overlap val="100"/>
        <c:axId val="5385120"/>
        <c:axId val="5397328"/>
      </c:barChart>
      <c:valAx>
        <c:axId val="5397328"/>
        <c:scaling>
          <c:orientation val="minMax"/>
        </c:scaling>
        <c:delete val="1"/>
        <c:axPos val="b"/>
        <c:numFmt formatCode="0%" sourceLinked="0"/>
        <c:majorTickMark val="out"/>
        <c:minorTickMark val="none"/>
        <c:tickLblPos val="nextTo"/>
        <c:crossAx val="5385120"/>
        <c:crosses val="autoZero"/>
        <c:crossBetween val="between"/>
      </c:valAx>
      <c:catAx>
        <c:axId val="5385120"/>
        <c:scaling>
          <c:orientation val="minMax"/>
        </c:scaling>
        <c:delete val="1"/>
        <c:axPos val="l"/>
        <c:majorTickMark val="out"/>
        <c:minorTickMark val="none"/>
        <c:tickLblPos val="nextTo"/>
        <c:crossAx val="539732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tx1"/>
            </a:solidFill>
            <a:ln>
              <a:noFill/>
            </a:ln>
            <a:effectLst/>
          </c:spPr>
          <c:invertIfNegative val="0"/>
          <c:cat>
            <c:strRef>
              <c:f>'Conventional Oil'!$B$15:$B$31</c:f>
              <c:strCache>
                <c:ptCount val="17"/>
                <c:pt idx="0">
                  <c:v>Drilling</c:v>
                </c:pt>
                <c:pt idx="1">
                  <c:v>Water and steam flooding</c:v>
                </c:pt>
                <c:pt idx="2">
                  <c:v>Produced water</c:v>
                </c:pt>
                <c:pt idx="5">
                  <c:v>Hydrostatic pipeline tests</c:v>
                </c:pt>
                <c:pt idx="6">
                  <c:v>Salt cavern storage</c:v>
                </c:pt>
                <c:pt idx="7">
                  <c:v>Tanker ship ballast</c:v>
                </c:pt>
                <c:pt idx="10">
                  <c:v>Refining</c:v>
                </c:pt>
                <c:pt idx="11">
                  <c:v>Oil-fired power plant cooling</c:v>
                </c:pt>
                <c:pt idx="12">
                  <c:v>Non-steam use</c:v>
                </c:pt>
                <c:pt idx="13">
                  <c:v>Ship cooling</c:v>
                </c:pt>
                <c:pt idx="16">
                  <c:v>Combustion</c:v>
                </c:pt>
              </c:strCache>
            </c:strRef>
          </c:cat>
          <c:val>
            <c:numRef>
              <c:f>'Conventional Oil'!$C$15:$C$31</c:f>
              <c:numCache>
                <c:formatCode>0.0E+00</c:formatCode>
                <c:ptCount val="17"/>
                <c:pt idx="0">
                  <c:v>6581735.2200321136</c:v>
                </c:pt>
                <c:pt idx="1">
                  <c:v>133354781.33768377</c:v>
                </c:pt>
                <c:pt idx="2">
                  <c:v>2241807730.1535573</c:v>
                </c:pt>
                <c:pt idx="5" formatCode="General">
                  <c:v>0</c:v>
                </c:pt>
                <c:pt idx="6">
                  <c:v>397133.38098459574</c:v>
                </c:pt>
                <c:pt idx="7">
                  <c:v>121000000</c:v>
                </c:pt>
                <c:pt idx="10">
                  <c:v>323991222.73632294</c:v>
                </c:pt>
                <c:pt idx="11">
                  <c:v>26260975.269569159</c:v>
                </c:pt>
                <c:pt idx="12" formatCode="General">
                  <c:v>0</c:v>
                </c:pt>
                <c:pt idx="13">
                  <c:v>0</c:v>
                </c:pt>
                <c:pt idx="16">
                  <c:v>-814736285.76330531</c:v>
                </c:pt>
              </c:numCache>
            </c:numRef>
          </c:val>
          <c:extLst>
            <c:ext xmlns:c16="http://schemas.microsoft.com/office/drawing/2014/chart" uri="{C3380CC4-5D6E-409C-BE32-E72D297353CC}">
              <c16:uniqueId val="{00000000-2C89-4C4D-89D8-5FB4AF7AF6AE}"/>
            </c:ext>
          </c:extLst>
        </c:ser>
        <c:dLbls>
          <c:showLegendKey val="0"/>
          <c:showVal val="0"/>
          <c:showCatName val="0"/>
          <c:showSerName val="0"/>
          <c:showPercent val="0"/>
          <c:showBubbleSize val="0"/>
        </c:dLbls>
        <c:gapWidth val="0"/>
        <c:axId val="-31981136"/>
        <c:axId val="-31978816"/>
      </c:barChart>
      <c:catAx>
        <c:axId val="-3198113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978816"/>
        <c:crosses val="autoZero"/>
        <c:auto val="1"/>
        <c:lblAlgn val="ctr"/>
        <c:lblOffset val="0"/>
        <c:noMultiLvlLbl val="0"/>
      </c:catAx>
      <c:valAx>
        <c:axId val="-31978816"/>
        <c:scaling>
          <c:orientation val="minMax"/>
          <c:max val="5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981136"/>
        <c:crosses val="max"/>
        <c:crossBetween val="between"/>
        <c:majorUnit val="2000000000"/>
        <c:minorUnit val="1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'Conventional Oil'!$B$15:$B$31</c:f>
              <c:strCache>
                <c:ptCount val="17"/>
                <c:pt idx="0">
                  <c:v>Drilling</c:v>
                </c:pt>
                <c:pt idx="1">
                  <c:v>Water and steam flooding</c:v>
                </c:pt>
                <c:pt idx="2">
                  <c:v>Produced water</c:v>
                </c:pt>
                <c:pt idx="5">
                  <c:v>Hydrostatic pipeline tests</c:v>
                </c:pt>
                <c:pt idx="6">
                  <c:v>Salt cavern storage</c:v>
                </c:pt>
                <c:pt idx="7">
                  <c:v>Tanker ship ballast</c:v>
                </c:pt>
                <c:pt idx="10">
                  <c:v>Refining</c:v>
                </c:pt>
                <c:pt idx="11">
                  <c:v>Oil-fired power plant cooling</c:v>
                </c:pt>
                <c:pt idx="12">
                  <c:v>Non-steam use</c:v>
                </c:pt>
                <c:pt idx="13">
                  <c:v>Ship cooling</c:v>
                </c:pt>
                <c:pt idx="16">
                  <c:v>Combustion</c:v>
                </c:pt>
              </c:strCache>
            </c:strRef>
          </c:cat>
          <c:val>
            <c:numRef>
              <c:f>'Conventional Oil'!$O$15:$O$31</c:f>
              <c:numCache>
                <c:formatCode>0.0E+00</c:formatCode>
                <c:ptCount val="17"/>
                <c:pt idx="0">
                  <c:v>5923561.6980289016</c:v>
                </c:pt>
                <c:pt idx="1">
                  <c:v>133354781.33768377</c:v>
                </c:pt>
                <c:pt idx="2">
                  <c:v>4404696729.1826744</c:v>
                </c:pt>
                <c:pt idx="5">
                  <c:v>4347813.4931428898</c:v>
                </c:pt>
                <c:pt idx="6">
                  <c:v>397133.38098459574</c:v>
                </c:pt>
                <c:pt idx="7">
                  <c:v>121000000</c:v>
                </c:pt>
                <c:pt idx="10">
                  <c:v>485986834.10448444</c:v>
                </c:pt>
                <c:pt idx="11">
                  <c:v>1922825233.2418904</c:v>
                </c:pt>
                <c:pt idx="16">
                  <c:v>-814736285.76330531</c:v>
                </c:pt>
              </c:numCache>
            </c:numRef>
          </c:val>
          <c:extLst>
            <c:ext xmlns:c16="http://schemas.microsoft.com/office/drawing/2014/chart" uri="{C3380CC4-5D6E-409C-BE32-E72D297353CC}">
              <c16:uniqueId val="{00000000-A604-2B40-AD77-C54BDCE8BB75}"/>
            </c:ext>
          </c:extLst>
        </c:ser>
        <c:dLbls>
          <c:showLegendKey val="0"/>
          <c:showVal val="0"/>
          <c:showCatName val="0"/>
          <c:showSerName val="0"/>
          <c:showPercent val="0"/>
          <c:showBubbleSize val="0"/>
        </c:dLbls>
        <c:gapWidth val="0"/>
        <c:axId val="-29820000"/>
        <c:axId val="-29817680"/>
      </c:barChart>
      <c:catAx>
        <c:axId val="-2982000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29817680"/>
        <c:crosses val="autoZero"/>
        <c:auto val="1"/>
        <c:lblAlgn val="ctr"/>
        <c:lblOffset val="0"/>
        <c:noMultiLvlLbl val="0"/>
      </c:catAx>
      <c:valAx>
        <c:axId val="-29817680"/>
        <c:scaling>
          <c:orientation val="minMax"/>
          <c:max val="5000000000"/>
          <c:min val="-2000000000"/>
        </c:scaling>
        <c:delete val="0"/>
        <c:axPos val="b"/>
        <c:numFmt formatCode="0.0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29820000"/>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'Conventional Oil'!$K$13</c:f>
              <c:numCache>
                <c:formatCode>0%</c:formatCode>
                <c:ptCount val="1"/>
                <c:pt idx="0">
                  <c:v>0.84582534568204704</c:v>
                </c:pt>
              </c:numCache>
            </c:numRef>
          </c:val>
          <c:extLst>
            <c:ext xmlns:c16="http://schemas.microsoft.com/office/drawing/2014/chart" uri="{C3380CC4-5D6E-409C-BE32-E72D297353CC}">
              <c16:uniqueId val="{00000000-8D0A-354A-83C7-FDA3826261BE}"/>
            </c:ext>
          </c:extLst>
        </c:ser>
        <c:ser>
          <c:idx val="0"/>
          <c:order val="1"/>
          <c:tx>
            <c:v>Surface</c:v>
          </c:tx>
          <c:spPr>
            <a:solidFill>
              <a:srgbClr val="335C89"/>
            </a:solidFill>
            <a:ln w="19050">
              <a:solidFill>
                <a:schemeClr val="lt1"/>
              </a:solidFill>
            </a:ln>
            <a:effectLst/>
          </c:spPr>
          <c:invertIfNegative val="0"/>
          <c:val>
            <c:numRef>
              <c:f>'Conventional Oil'!$L$13</c:f>
              <c:numCache>
                <c:formatCode>0%</c:formatCode>
                <c:ptCount val="1"/>
                <c:pt idx="0">
                  <c:v>0.15378871631217825</c:v>
                </c:pt>
              </c:numCache>
            </c:numRef>
          </c:val>
          <c:extLst>
            <c:ext xmlns:c16="http://schemas.microsoft.com/office/drawing/2014/chart" uri="{C3380CC4-5D6E-409C-BE32-E72D297353CC}">
              <c16:uniqueId val="{00000001-8D0A-354A-83C7-FDA3826261BE}"/>
            </c:ext>
          </c:extLst>
        </c:ser>
        <c:ser>
          <c:idx val="2"/>
          <c:order val="2"/>
          <c:tx>
            <c:v>Reuse</c:v>
          </c:tx>
          <c:spPr>
            <a:solidFill>
              <a:srgbClr val="19416C"/>
            </a:solidFill>
            <a:ln w="19050">
              <a:solidFill>
                <a:schemeClr val="lt1"/>
              </a:solidFill>
            </a:ln>
            <a:effectLst/>
          </c:spPr>
          <c:invertIfNegative val="0"/>
          <c:val>
            <c:numRef>
              <c:f>'Conventional Oil'!$M$13</c:f>
              <c:numCache>
                <c:formatCode>0%</c:formatCode>
                <c:ptCount val="1"/>
                <c:pt idx="0">
                  <c:v>3.859380057747263E-4</c:v>
                </c:pt>
              </c:numCache>
            </c:numRef>
          </c:val>
          <c:extLst>
            <c:ext xmlns:c16="http://schemas.microsoft.com/office/drawing/2014/chart" uri="{C3380CC4-5D6E-409C-BE32-E72D297353CC}">
              <c16:uniqueId val="{00000002-8D0A-354A-83C7-FDA3826261BE}"/>
            </c:ext>
          </c:extLst>
        </c:ser>
        <c:dLbls>
          <c:showLegendKey val="0"/>
          <c:showVal val="0"/>
          <c:showCatName val="0"/>
          <c:showSerName val="0"/>
          <c:showPercent val="0"/>
          <c:showBubbleSize val="0"/>
        </c:dLbls>
        <c:gapWidth val="0"/>
        <c:overlap val="100"/>
        <c:axId val="-69171488"/>
        <c:axId val="69413424"/>
      </c:barChart>
      <c:valAx>
        <c:axId val="69413424"/>
        <c:scaling>
          <c:orientation val="minMax"/>
          <c:min val="0"/>
        </c:scaling>
        <c:delete val="1"/>
        <c:axPos val="b"/>
        <c:numFmt formatCode="0%" sourceLinked="1"/>
        <c:majorTickMark val="out"/>
        <c:minorTickMark val="none"/>
        <c:tickLblPos val="nextTo"/>
        <c:crossAx val="-69171488"/>
        <c:crosses val="autoZero"/>
        <c:crossBetween val="between"/>
      </c:valAx>
      <c:catAx>
        <c:axId val="-69171488"/>
        <c:scaling>
          <c:orientation val="minMax"/>
        </c:scaling>
        <c:delete val="1"/>
        <c:axPos val="l"/>
        <c:majorTickMark val="out"/>
        <c:minorTickMark val="none"/>
        <c:tickLblPos val="nextTo"/>
        <c:crossAx val="6941342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2924-ED40-9D0A-2043D68131B0}"/>
              </c:ext>
            </c:extLst>
          </c:dPt>
          <c:val>
            <c:numRef>
              <c:f>'Conventional Oil'!$F$13</c:f>
              <c:numCache>
                <c:formatCode>0%</c:formatCode>
                <c:ptCount val="1"/>
                <c:pt idx="0">
                  <c:v>0.1697379508743054</c:v>
                </c:pt>
              </c:numCache>
            </c:numRef>
          </c:val>
          <c:extLst>
            <c:ext xmlns:c16="http://schemas.microsoft.com/office/drawing/2014/chart" uri="{C3380CC4-5D6E-409C-BE32-E72D297353CC}">
              <c16:uniqueId val="{00000002-2924-ED40-9D0A-2043D68131B0}"/>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2924-ED40-9D0A-2043D68131B0}"/>
              </c:ext>
            </c:extLst>
          </c:dPt>
          <c:val>
            <c:numRef>
              <c:f>'Conventional Oil'!$G$13</c:f>
              <c:numCache>
                <c:formatCode>0%</c:formatCode>
                <c:ptCount val="1"/>
                <c:pt idx="0">
                  <c:v>8.8042862742229042E-2</c:v>
                </c:pt>
              </c:numCache>
            </c:numRef>
          </c:val>
          <c:extLst>
            <c:ext xmlns:c16="http://schemas.microsoft.com/office/drawing/2014/chart" uri="{C3380CC4-5D6E-409C-BE32-E72D297353CC}">
              <c16:uniqueId val="{00000005-2924-ED40-9D0A-2043D68131B0}"/>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2924-ED40-9D0A-2043D68131B0}"/>
              </c:ext>
            </c:extLst>
          </c:dPt>
          <c:val>
            <c:numRef>
              <c:f>'Conventional Oil'!$H$13</c:f>
              <c:numCache>
                <c:formatCode>0%</c:formatCode>
                <c:ptCount val="1"/>
                <c:pt idx="0">
                  <c:v>0.20989440276343466</c:v>
                </c:pt>
              </c:numCache>
            </c:numRef>
          </c:val>
          <c:extLst>
            <c:ext xmlns:c16="http://schemas.microsoft.com/office/drawing/2014/chart" uri="{C3380CC4-5D6E-409C-BE32-E72D297353CC}">
              <c16:uniqueId val="{00000008-2924-ED40-9D0A-2043D68131B0}"/>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2924-ED40-9D0A-2043D68131B0}"/>
              </c:ext>
            </c:extLst>
          </c:dPt>
          <c:val>
            <c:numRef>
              <c:f>'Conventional Oil'!$I$13</c:f>
              <c:numCache>
                <c:formatCode>0%</c:formatCode>
                <c:ptCount val="1"/>
                <c:pt idx="0">
                  <c:v>0.53232478362003099</c:v>
                </c:pt>
              </c:numCache>
            </c:numRef>
          </c:val>
          <c:extLst>
            <c:ext xmlns:c16="http://schemas.microsoft.com/office/drawing/2014/chart" uri="{C3380CC4-5D6E-409C-BE32-E72D297353CC}">
              <c16:uniqueId val="{0000000B-2924-ED40-9D0A-2043D68131B0}"/>
            </c:ext>
          </c:extLst>
        </c:ser>
        <c:dLbls>
          <c:showLegendKey val="0"/>
          <c:showVal val="0"/>
          <c:showCatName val="0"/>
          <c:showSerName val="0"/>
          <c:showPercent val="0"/>
          <c:showBubbleSize val="0"/>
        </c:dLbls>
        <c:gapWidth val="0"/>
        <c:overlap val="100"/>
        <c:axId val="69795472"/>
        <c:axId val="69461744"/>
      </c:barChart>
      <c:valAx>
        <c:axId val="69461744"/>
        <c:scaling>
          <c:orientation val="minMax"/>
        </c:scaling>
        <c:delete val="1"/>
        <c:axPos val="b"/>
        <c:numFmt formatCode="0%" sourceLinked="0"/>
        <c:majorTickMark val="out"/>
        <c:minorTickMark val="none"/>
        <c:tickLblPos val="nextTo"/>
        <c:crossAx val="69795472"/>
        <c:crosses val="autoZero"/>
        <c:crossBetween val="between"/>
      </c:valAx>
      <c:catAx>
        <c:axId val="69795472"/>
        <c:scaling>
          <c:orientation val="minMax"/>
        </c:scaling>
        <c:delete val="1"/>
        <c:axPos val="l"/>
        <c:majorTickMark val="out"/>
        <c:minorTickMark val="none"/>
        <c:tickLblPos val="nextTo"/>
        <c:crossAx val="6946174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'Conventional Oil'!$W$13</c:f>
              <c:numCache>
                <c:formatCode>0%</c:formatCode>
                <c:ptCount val="1"/>
                <c:pt idx="0">
                  <c:v>0.65413813185159086</c:v>
                </c:pt>
              </c:numCache>
            </c:numRef>
          </c:val>
          <c:extLst>
            <c:ext xmlns:c16="http://schemas.microsoft.com/office/drawing/2014/chart" uri="{C3380CC4-5D6E-409C-BE32-E72D297353CC}">
              <c16:uniqueId val="{00000000-85BE-854D-A238-140804D7DA3C}"/>
            </c:ext>
          </c:extLst>
        </c:ser>
        <c:ser>
          <c:idx val="0"/>
          <c:order val="1"/>
          <c:tx>
            <c:v>Surface</c:v>
          </c:tx>
          <c:spPr>
            <a:solidFill>
              <a:srgbClr val="335C89"/>
            </a:solidFill>
            <a:ln w="19050">
              <a:solidFill>
                <a:schemeClr val="lt1"/>
              </a:solidFill>
            </a:ln>
            <a:effectLst/>
          </c:spPr>
          <c:invertIfNegative val="0"/>
          <c:val>
            <c:numRef>
              <c:f>'Conventional Oil'!$X$13</c:f>
              <c:numCache>
                <c:formatCode>0%</c:formatCode>
                <c:ptCount val="1"/>
                <c:pt idx="0">
                  <c:v>0.34541254109746028</c:v>
                </c:pt>
              </c:numCache>
            </c:numRef>
          </c:val>
          <c:extLst>
            <c:ext xmlns:c16="http://schemas.microsoft.com/office/drawing/2014/chart" uri="{C3380CC4-5D6E-409C-BE32-E72D297353CC}">
              <c16:uniqueId val="{00000001-85BE-854D-A238-140804D7DA3C}"/>
            </c:ext>
          </c:extLst>
        </c:ser>
        <c:ser>
          <c:idx val="2"/>
          <c:order val="2"/>
          <c:tx>
            <c:v>Reuse</c:v>
          </c:tx>
          <c:spPr>
            <a:solidFill>
              <a:srgbClr val="19416C"/>
            </a:solidFill>
            <a:ln w="19050">
              <a:solidFill>
                <a:schemeClr val="lt1"/>
              </a:solidFill>
            </a:ln>
            <a:effectLst/>
          </c:spPr>
          <c:invertIfNegative val="0"/>
          <c:val>
            <c:numRef>
              <c:f>'Conventional Oil'!$Y$13</c:f>
              <c:numCache>
                <c:formatCode>0%</c:formatCode>
                <c:ptCount val="1"/>
                <c:pt idx="0">
                  <c:v>4.4932705094880915E-4</c:v>
                </c:pt>
              </c:numCache>
            </c:numRef>
          </c:val>
          <c:extLst>
            <c:ext xmlns:c16="http://schemas.microsoft.com/office/drawing/2014/chart" uri="{C3380CC4-5D6E-409C-BE32-E72D297353CC}">
              <c16:uniqueId val="{00000002-85BE-854D-A238-140804D7DA3C}"/>
            </c:ext>
          </c:extLst>
        </c:ser>
        <c:dLbls>
          <c:showLegendKey val="0"/>
          <c:showVal val="0"/>
          <c:showCatName val="0"/>
          <c:showSerName val="0"/>
          <c:showPercent val="0"/>
          <c:showBubbleSize val="0"/>
        </c:dLbls>
        <c:gapWidth val="0"/>
        <c:overlap val="100"/>
        <c:axId val="69823264"/>
        <c:axId val="69820944"/>
      </c:barChart>
      <c:valAx>
        <c:axId val="69820944"/>
        <c:scaling>
          <c:orientation val="minMax"/>
        </c:scaling>
        <c:delete val="1"/>
        <c:axPos val="b"/>
        <c:numFmt formatCode="0%" sourceLinked="0"/>
        <c:majorTickMark val="out"/>
        <c:minorTickMark val="none"/>
        <c:tickLblPos val="nextTo"/>
        <c:crossAx val="69823264"/>
        <c:crosses val="autoZero"/>
        <c:crossBetween val="between"/>
      </c:valAx>
      <c:catAx>
        <c:axId val="69823264"/>
        <c:scaling>
          <c:orientation val="minMax"/>
        </c:scaling>
        <c:delete val="1"/>
        <c:axPos val="l"/>
        <c:majorTickMark val="out"/>
        <c:minorTickMark val="none"/>
        <c:tickLblPos val="nextTo"/>
        <c:crossAx val="6982094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12950600801103E-2"/>
          <c:y val="0.52378645669291335"/>
          <c:w val="0.93057409879839803"/>
          <c:h val="0.34744566929133858"/>
        </c:manualLayout>
      </c:layout>
      <c:barChart>
        <c:barDir val="bar"/>
        <c:grouping val="stacked"/>
        <c:varyColors val="0"/>
        <c:ser>
          <c:idx val="0"/>
          <c:order val="0"/>
          <c:tx>
            <c:v>Consumption</c:v>
          </c:tx>
          <c:spPr>
            <a:solidFill>
              <a:schemeClr val="tx1"/>
            </a:solidFill>
            <a:ln>
              <a:noFill/>
            </a:ln>
            <a:effectLst/>
          </c:spPr>
          <c:invertIfNegative val="0"/>
          <c:cat>
            <c:strRef>
              <c:f>'Volume Summary'!$B$4:$B$6</c:f>
              <c:strCache>
                <c:ptCount val="3"/>
                <c:pt idx="0">
                  <c:v>Ground</c:v>
                </c:pt>
                <c:pt idx="1">
                  <c:v>Surface</c:v>
                </c:pt>
                <c:pt idx="2">
                  <c:v>Reuse</c:v>
                </c:pt>
              </c:strCache>
            </c:strRef>
          </c:cat>
          <c:val>
            <c:numRef>
              <c:f>'Volume Summary'!$C$4:$C$6</c:f>
              <c:numCache>
                <c:formatCode>0.0E+00</c:formatCode>
                <c:ptCount val="3"/>
                <c:pt idx="0">
                  <c:v>8525080938</c:v>
                </c:pt>
                <c:pt idx="1">
                  <c:v>7545888272</c:v>
                </c:pt>
                <c:pt idx="2">
                  <c:v>316468088</c:v>
                </c:pt>
              </c:numCache>
            </c:numRef>
          </c:val>
          <c:extLst>
            <c:ext xmlns:c16="http://schemas.microsoft.com/office/drawing/2014/chart" uri="{C3380CC4-5D6E-409C-BE32-E72D297353CC}">
              <c16:uniqueId val="{00000000-93EC-CB44-9712-EF2CF3B5313C}"/>
            </c:ext>
          </c:extLst>
        </c:ser>
        <c:ser>
          <c:idx val="1"/>
          <c:order val="1"/>
          <c:tx>
            <c:v>Return flow</c:v>
          </c:tx>
          <c:spPr>
            <a:solidFill>
              <a:schemeClr val="bg1">
                <a:lumMod val="75000"/>
              </a:schemeClr>
            </a:solidFill>
            <a:ln>
              <a:noFill/>
            </a:ln>
            <a:effectLst/>
          </c:spPr>
          <c:invertIfNegative val="0"/>
          <c:cat>
            <c:strRef>
              <c:f>'Volume Summary'!$B$4:$B$6</c:f>
              <c:strCache>
                <c:ptCount val="3"/>
                <c:pt idx="0">
                  <c:v>Ground</c:v>
                </c:pt>
                <c:pt idx="1">
                  <c:v>Surface</c:v>
                </c:pt>
                <c:pt idx="2">
                  <c:v>Reuse</c:v>
                </c:pt>
              </c:strCache>
            </c:strRef>
          </c:cat>
          <c:val>
            <c:numRef>
              <c:f>'Volume Summary'!$E$4:$E$6</c:f>
              <c:numCache>
                <c:formatCode>0.0E+00</c:formatCode>
                <c:ptCount val="3"/>
                <c:pt idx="0">
                  <c:v>3589616622</c:v>
                </c:pt>
                <c:pt idx="1">
                  <c:v>198292136088</c:v>
                </c:pt>
                <c:pt idx="2">
                  <c:v>1341814636</c:v>
                </c:pt>
              </c:numCache>
            </c:numRef>
          </c:val>
          <c:extLst>
            <c:ext xmlns:c16="http://schemas.microsoft.com/office/drawing/2014/chart" uri="{C3380CC4-5D6E-409C-BE32-E72D297353CC}">
              <c16:uniqueId val="{00000001-93EC-CB44-9712-EF2CF3B5313C}"/>
            </c:ext>
          </c:extLst>
        </c:ser>
        <c:dLbls>
          <c:showLegendKey val="0"/>
          <c:showVal val="0"/>
          <c:showCatName val="0"/>
          <c:showSerName val="0"/>
          <c:showPercent val="0"/>
          <c:showBubbleSize val="0"/>
        </c:dLbls>
        <c:gapWidth val="9"/>
        <c:overlap val="100"/>
        <c:axId val="-32052864"/>
        <c:axId val="-32050544"/>
      </c:barChart>
      <c:catAx>
        <c:axId val="-32052864"/>
        <c:scaling>
          <c:orientation val="maxMin"/>
        </c:scaling>
        <c:delete val="1"/>
        <c:axPos val="l"/>
        <c:numFmt formatCode="General" sourceLinked="1"/>
        <c:majorTickMark val="none"/>
        <c:minorTickMark val="none"/>
        <c:tickLblPos val="nextTo"/>
        <c:crossAx val="-32050544"/>
        <c:crosses val="autoZero"/>
        <c:auto val="1"/>
        <c:lblAlgn val="ctr"/>
        <c:lblOffset val="100"/>
        <c:noMultiLvlLbl val="0"/>
      </c:catAx>
      <c:valAx>
        <c:axId val="-32050544"/>
        <c:scaling>
          <c:orientation val="minMax"/>
        </c:scaling>
        <c:delete val="1"/>
        <c:axPos val="t"/>
        <c:numFmt formatCode="0.0E+00" sourceLinked="0"/>
        <c:majorTickMark val="out"/>
        <c:minorTickMark val="none"/>
        <c:tickLblPos val="nextTo"/>
        <c:crossAx val="-32052864"/>
        <c:crosses val="autoZero"/>
        <c:crossBetween val="between"/>
      </c:valAx>
      <c:spPr>
        <a:noFill/>
        <a:ln>
          <a:noFill/>
        </a:ln>
        <a:effectLst/>
      </c:spPr>
    </c:plotArea>
    <c:legend>
      <c:legendPos val="t"/>
      <c:layout>
        <c:manualLayout>
          <c:xMode val="edge"/>
          <c:yMode val="edge"/>
          <c:x val="0.1034183110288784"/>
          <c:y val="1.8867924528301886E-2"/>
          <c:w val="0.63561998675399201"/>
          <c:h val="0.178067151983361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'Conventional Oil'!$R$13</c:f>
              <c:numCache>
                <c:formatCode>0%</c:formatCode>
                <c:ptCount val="1"/>
                <c:pt idx="0">
                  <c:v>0.2347465638784958</c:v>
                </c:pt>
              </c:numCache>
            </c:numRef>
          </c:val>
          <c:extLst>
            <c:ext xmlns:c16="http://schemas.microsoft.com/office/drawing/2014/chart" uri="{C3380CC4-5D6E-409C-BE32-E72D297353CC}">
              <c16:uniqueId val="{00000000-77C2-C64A-A24A-9AC923564980}"/>
            </c:ext>
          </c:extLst>
        </c:ser>
        <c:ser>
          <c:idx val="1"/>
          <c:order val="1"/>
          <c:tx>
            <c:v>Brackish</c:v>
          </c:tx>
          <c:spPr>
            <a:solidFill>
              <a:srgbClr val="98D862"/>
            </a:solidFill>
            <a:ln w="19050">
              <a:solidFill>
                <a:schemeClr val="lt1"/>
              </a:solidFill>
            </a:ln>
            <a:effectLst/>
          </c:spPr>
          <c:invertIfNegative val="0"/>
          <c:val>
            <c:numRef>
              <c:f>'Conventional Oil'!$S$13</c:f>
              <c:numCache>
                <c:formatCode>0%</c:formatCode>
                <c:ptCount val="1"/>
                <c:pt idx="0">
                  <c:v>8.2307045931768727E-2</c:v>
                </c:pt>
              </c:numCache>
            </c:numRef>
          </c:val>
          <c:extLst>
            <c:ext xmlns:c16="http://schemas.microsoft.com/office/drawing/2014/chart" uri="{C3380CC4-5D6E-409C-BE32-E72D297353CC}">
              <c16:uniqueId val="{00000001-77C2-C64A-A24A-9AC923564980}"/>
            </c:ext>
          </c:extLst>
        </c:ser>
        <c:ser>
          <c:idx val="2"/>
          <c:order val="2"/>
          <c:tx>
            <c:v>Saline</c:v>
          </c:tx>
          <c:spPr>
            <a:solidFill>
              <a:srgbClr val="6EB739"/>
            </a:solidFill>
            <a:ln w="19050">
              <a:solidFill>
                <a:schemeClr val="lt1"/>
              </a:solidFill>
            </a:ln>
            <a:effectLst/>
          </c:spPr>
          <c:invertIfNegative val="0"/>
          <c:val>
            <c:numRef>
              <c:f>'Conventional Oil'!$T$13</c:f>
              <c:numCache>
                <c:formatCode>0%</c:formatCode>
                <c:ptCount val="1"/>
                <c:pt idx="0">
                  <c:v>0.25877927290517616</c:v>
                </c:pt>
              </c:numCache>
            </c:numRef>
          </c:val>
          <c:extLst>
            <c:ext xmlns:c16="http://schemas.microsoft.com/office/drawing/2014/chart" uri="{C3380CC4-5D6E-409C-BE32-E72D297353CC}">
              <c16:uniqueId val="{00000002-77C2-C64A-A24A-9AC923564980}"/>
            </c:ext>
          </c:extLst>
        </c:ser>
        <c:ser>
          <c:idx val="3"/>
          <c:order val="3"/>
          <c:tx>
            <c:v>Not RO</c:v>
          </c:tx>
          <c:spPr>
            <a:solidFill>
              <a:srgbClr val="5A9D2C"/>
            </a:solidFill>
            <a:ln w="19050">
              <a:solidFill>
                <a:schemeClr val="lt1"/>
              </a:solidFill>
            </a:ln>
            <a:effectLst/>
          </c:spPr>
          <c:invertIfNegative val="0"/>
          <c:val>
            <c:numRef>
              <c:f>'Conventional Oil'!$U$13</c:f>
              <c:numCache>
                <c:formatCode>0%</c:formatCode>
                <c:ptCount val="1"/>
                <c:pt idx="0">
                  <c:v>0.42416711728455941</c:v>
                </c:pt>
              </c:numCache>
            </c:numRef>
          </c:val>
          <c:extLst>
            <c:ext xmlns:c16="http://schemas.microsoft.com/office/drawing/2014/chart" uri="{C3380CC4-5D6E-409C-BE32-E72D297353CC}">
              <c16:uniqueId val="{00000003-77C2-C64A-A24A-9AC923564980}"/>
            </c:ext>
          </c:extLst>
        </c:ser>
        <c:dLbls>
          <c:showLegendKey val="0"/>
          <c:showVal val="0"/>
          <c:showCatName val="0"/>
          <c:showSerName val="0"/>
          <c:showPercent val="0"/>
          <c:showBubbleSize val="0"/>
        </c:dLbls>
        <c:gapWidth val="0"/>
        <c:overlap val="100"/>
        <c:axId val="-31952560"/>
        <c:axId val="-31955392"/>
      </c:barChart>
      <c:valAx>
        <c:axId val="-31955392"/>
        <c:scaling>
          <c:orientation val="minMax"/>
        </c:scaling>
        <c:delete val="1"/>
        <c:axPos val="b"/>
        <c:numFmt formatCode="0%" sourceLinked="0"/>
        <c:majorTickMark val="out"/>
        <c:minorTickMark val="none"/>
        <c:tickLblPos val="nextTo"/>
        <c:crossAx val="-31952560"/>
        <c:crosses val="autoZero"/>
        <c:crossBetween val="between"/>
      </c:valAx>
      <c:catAx>
        <c:axId val="-31952560"/>
        <c:scaling>
          <c:orientation val="minMax"/>
        </c:scaling>
        <c:delete val="1"/>
        <c:axPos val="l"/>
        <c:majorTickMark val="out"/>
        <c:minorTickMark val="none"/>
        <c:tickLblPos val="nextTo"/>
        <c:crossAx val="-3195539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tx1"/>
            </a:solidFill>
            <a:ln>
              <a:noFill/>
            </a:ln>
            <a:effectLst/>
          </c:spPr>
          <c:invertIfNegative val="0"/>
          <c:cat>
            <c:strRef>
              <c:f>'Unconventional Oil'!$B$15:$B$30</c:f>
              <c:strCache>
                <c:ptCount val="16"/>
                <c:pt idx="0">
                  <c:v>Drilling</c:v>
                </c:pt>
                <c:pt idx="1">
                  <c:v>Hydraulic fracturing</c:v>
                </c:pt>
                <c:pt idx="2">
                  <c:v>Produced water</c:v>
                </c:pt>
                <c:pt idx="5">
                  <c:v>Hydrostatic pipeline tests</c:v>
                </c:pt>
                <c:pt idx="6">
                  <c:v>Salt cavern storage</c:v>
                </c:pt>
                <c:pt idx="9">
                  <c:v>Refining</c:v>
                </c:pt>
                <c:pt idx="10">
                  <c:v>Oil-fired power plant cooling</c:v>
                </c:pt>
                <c:pt idx="11">
                  <c:v>Non-steam use</c:v>
                </c:pt>
                <c:pt idx="12">
                  <c:v>Ship cooling</c:v>
                </c:pt>
                <c:pt idx="15">
                  <c:v>Combustion</c:v>
                </c:pt>
              </c:strCache>
            </c:strRef>
          </c:cat>
          <c:val>
            <c:numRef>
              <c:f>'Unconventional Oil'!$C$15:$C$30</c:f>
              <c:numCache>
                <c:formatCode>0.0E+00</c:formatCode>
                <c:ptCount val="16"/>
                <c:pt idx="0">
                  <c:v>9811282.3155758195</c:v>
                </c:pt>
                <c:pt idx="1">
                  <c:v>121846153.84615384</c:v>
                </c:pt>
                <c:pt idx="2">
                  <c:v>63465650.614596263</c:v>
                </c:pt>
                <c:pt idx="5" formatCode="General">
                  <c:v>0</c:v>
                </c:pt>
                <c:pt idx="6">
                  <c:v>142256.76801116485</c:v>
                </c:pt>
                <c:pt idx="9">
                  <c:v>116056585.56373654</c:v>
                </c:pt>
                <c:pt idx="10">
                  <c:v>9406918.797427766</c:v>
                </c:pt>
                <c:pt idx="11" formatCode="General">
                  <c:v>0</c:v>
                </c:pt>
                <c:pt idx="12" formatCode="General">
                  <c:v>0</c:v>
                </c:pt>
                <c:pt idx="15">
                  <c:v>-291845904.53403437</c:v>
                </c:pt>
              </c:numCache>
            </c:numRef>
          </c:val>
          <c:extLst>
            <c:ext xmlns:c16="http://schemas.microsoft.com/office/drawing/2014/chart" uri="{C3380CC4-5D6E-409C-BE32-E72D297353CC}">
              <c16:uniqueId val="{00000000-573E-FA45-9DA1-04952813DEED}"/>
            </c:ext>
          </c:extLst>
        </c:ser>
        <c:dLbls>
          <c:showLegendKey val="0"/>
          <c:showVal val="0"/>
          <c:showCatName val="0"/>
          <c:showSerName val="0"/>
          <c:showPercent val="0"/>
          <c:showBubbleSize val="0"/>
        </c:dLbls>
        <c:gapWidth val="0"/>
        <c:axId val="-31938000"/>
        <c:axId val="-31935680"/>
      </c:barChart>
      <c:catAx>
        <c:axId val="-3193800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935680"/>
        <c:crosses val="autoZero"/>
        <c:auto val="1"/>
        <c:lblAlgn val="ctr"/>
        <c:lblOffset val="0"/>
        <c:noMultiLvlLbl val="0"/>
      </c:catAx>
      <c:valAx>
        <c:axId val="-31935680"/>
        <c:scaling>
          <c:orientation val="minMax"/>
          <c:max val="5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938000"/>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'Unconventional Oil'!$B$15:$B$30</c:f>
              <c:strCache>
                <c:ptCount val="16"/>
                <c:pt idx="0">
                  <c:v>Drilling</c:v>
                </c:pt>
                <c:pt idx="1">
                  <c:v>Hydraulic fracturing</c:v>
                </c:pt>
                <c:pt idx="2">
                  <c:v>Produced water</c:v>
                </c:pt>
                <c:pt idx="5">
                  <c:v>Hydrostatic pipeline tests</c:v>
                </c:pt>
                <c:pt idx="6">
                  <c:v>Salt cavern storage</c:v>
                </c:pt>
                <c:pt idx="9">
                  <c:v>Refining</c:v>
                </c:pt>
                <c:pt idx="10">
                  <c:v>Oil-fired power plant cooling</c:v>
                </c:pt>
                <c:pt idx="11">
                  <c:v>Non-steam use</c:v>
                </c:pt>
                <c:pt idx="12">
                  <c:v>Ship cooling</c:v>
                </c:pt>
                <c:pt idx="15">
                  <c:v>Combustion</c:v>
                </c:pt>
              </c:strCache>
            </c:strRef>
          </c:cat>
          <c:val>
            <c:numRef>
              <c:f>'Unconventional Oil'!$O$15:$O$30</c:f>
              <c:numCache>
                <c:formatCode>0.0E+00</c:formatCode>
                <c:ptCount val="16"/>
                <c:pt idx="0">
                  <c:v>8830154.0840182379</c:v>
                </c:pt>
                <c:pt idx="1">
                  <c:v>116972307.69230768</c:v>
                </c:pt>
                <c:pt idx="2">
                  <c:v>69320625</c:v>
                </c:pt>
                <c:pt idx="5">
                  <c:v>1557426.1068571098</c:v>
                </c:pt>
                <c:pt idx="6">
                  <c:v>142256.76801116485</c:v>
                </c:pt>
                <c:pt idx="9">
                  <c:v>174084878.34560484</c:v>
                </c:pt>
                <c:pt idx="10">
                  <c:v>688773385.03538072</c:v>
                </c:pt>
                <c:pt idx="15">
                  <c:v>-291845904.53403437</c:v>
                </c:pt>
              </c:numCache>
            </c:numRef>
          </c:val>
          <c:extLst>
            <c:ext xmlns:c16="http://schemas.microsoft.com/office/drawing/2014/chart" uri="{C3380CC4-5D6E-409C-BE32-E72D297353CC}">
              <c16:uniqueId val="{00000000-3B65-2546-B99C-C154FAFC046D}"/>
            </c:ext>
          </c:extLst>
        </c:ser>
        <c:dLbls>
          <c:showLegendKey val="0"/>
          <c:showVal val="0"/>
          <c:showCatName val="0"/>
          <c:showSerName val="0"/>
          <c:showPercent val="0"/>
          <c:showBubbleSize val="0"/>
        </c:dLbls>
        <c:gapWidth val="0"/>
        <c:axId val="69832624"/>
        <c:axId val="69834944"/>
      </c:barChart>
      <c:catAx>
        <c:axId val="6983262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834944"/>
        <c:crosses val="autoZero"/>
        <c:auto val="1"/>
        <c:lblAlgn val="ctr"/>
        <c:lblOffset val="0"/>
        <c:noMultiLvlLbl val="0"/>
      </c:catAx>
      <c:valAx>
        <c:axId val="69834944"/>
        <c:scaling>
          <c:orientation val="minMax"/>
          <c:max val="5000000000"/>
          <c:min val="-2000000000"/>
        </c:scaling>
        <c:delete val="0"/>
        <c:axPos val="b"/>
        <c:numFmt formatCode="0.0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832624"/>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'Unconventional Oil'!$K$13</c:f>
              <c:numCache>
                <c:formatCode>0%</c:formatCode>
                <c:ptCount val="1"/>
                <c:pt idx="0">
                  <c:v>0.52451543630978414</c:v>
                </c:pt>
              </c:numCache>
            </c:numRef>
          </c:val>
          <c:extLst>
            <c:ext xmlns:c16="http://schemas.microsoft.com/office/drawing/2014/chart" uri="{C3380CC4-5D6E-409C-BE32-E72D297353CC}">
              <c16:uniqueId val="{00000000-2166-8241-A0F5-4C9C30E05244}"/>
            </c:ext>
          </c:extLst>
        </c:ser>
        <c:ser>
          <c:idx val="0"/>
          <c:order val="1"/>
          <c:tx>
            <c:v>Surface</c:v>
          </c:tx>
          <c:spPr>
            <a:solidFill>
              <a:srgbClr val="335C89"/>
            </a:solidFill>
            <a:ln w="19050">
              <a:solidFill>
                <a:schemeClr val="lt1"/>
              </a:solidFill>
            </a:ln>
            <a:effectLst/>
          </c:spPr>
          <c:invertIfNegative val="0"/>
          <c:val>
            <c:numRef>
              <c:f>'Unconventional Oil'!$L$13</c:f>
              <c:numCache>
                <c:formatCode>0%</c:formatCode>
                <c:ptCount val="1"/>
                <c:pt idx="0">
                  <c:v>0.45673451253124242</c:v>
                </c:pt>
              </c:numCache>
            </c:numRef>
          </c:val>
          <c:extLst>
            <c:ext xmlns:c16="http://schemas.microsoft.com/office/drawing/2014/chart" uri="{C3380CC4-5D6E-409C-BE32-E72D297353CC}">
              <c16:uniqueId val="{00000001-2166-8241-A0F5-4C9C30E05244}"/>
            </c:ext>
          </c:extLst>
        </c:ser>
        <c:ser>
          <c:idx val="2"/>
          <c:order val="2"/>
          <c:tx>
            <c:v>Reuse</c:v>
          </c:tx>
          <c:spPr>
            <a:solidFill>
              <a:srgbClr val="19416C"/>
            </a:solidFill>
            <a:ln w="19050">
              <a:solidFill>
                <a:schemeClr val="lt1"/>
              </a:solidFill>
            </a:ln>
            <a:effectLst/>
          </c:spPr>
          <c:invertIfNegative val="0"/>
          <c:val>
            <c:numRef>
              <c:f>'Unconventional Oil'!$M$13</c:f>
              <c:numCache>
                <c:formatCode>0%</c:formatCode>
                <c:ptCount val="1"/>
                <c:pt idx="0">
                  <c:v>1.8750051158973199E-2</c:v>
                </c:pt>
              </c:numCache>
            </c:numRef>
          </c:val>
          <c:extLst>
            <c:ext xmlns:c16="http://schemas.microsoft.com/office/drawing/2014/chart" uri="{C3380CC4-5D6E-409C-BE32-E72D297353CC}">
              <c16:uniqueId val="{00000002-2166-8241-A0F5-4C9C30E05244}"/>
            </c:ext>
          </c:extLst>
        </c:ser>
        <c:dLbls>
          <c:showLegendKey val="0"/>
          <c:showVal val="0"/>
          <c:showCatName val="0"/>
          <c:showSerName val="0"/>
          <c:showPercent val="0"/>
          <c:showBubbleSize val="0"/>
        </c:dLbls>
        <c:gapWidth val="0"/>
        <c:overlap val="100"/>
        <c:axId val="-29788304"/>
        <c:axId val="-29790624"/>
      </c:barChart>
      <c:valAx>
        <c:axId val="-29790624"/>
        <c:scaling>
          <c:orientation val="minMax"/>
        </c:scaling>
        <c:delete val="1"/>
        <c:axPos val="b"/>
        <c:numFmt formatCode="0%" sourceLinked="1"/>
        <c:majorTickMark val="out"/>
        <c:minorTickMark val="none"/>
        <c:tickLblPos val="nextTo"/>
        <c:crossAx val="-29788304"/>
        <c:crosses val="autoZero"/>
        <c:crossBetween val="between"/>
      </c:valAx>
      <c:catAx>
        <c:axId val="-29788304"/>
        <c:scaling>
          <c:orientation val="minMax"/>
        </c:scaling>
        <c:delete val="1"/>
        <c:axPos val="l"/>
        <c:majorTickMark val="out"/>
        <c:minorTickMark val="none"/>
        <c:tickLblPos val="nextTo"/>
        <c:crossAx val="-2979062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2AD4-1F43-9B63-CFDB87E77C0B}"/>
              </c:ext>
            </c:extLst>
          </c:dPt>
          <c:val>
            <c:numRef>
              <c:f>'Unconventional Oil'!$F$13</c:f>
              <c:numCache>
                <c:formatCode>0%</c:formatCode>
                <c:ptCount val="1"/>
                <c:pt idx="0">
                  <c:v>0.77761259345934153</c:v>
                </c:pt>
              </c:numCache>
            </c:numRef>
          </c:val>
          <c:extLst>
            <c:ext xmlns:c16="http://schemas.microsoft.com/office/drawing/2014/chart" uri="{C3380CC4-5D6E-409C-BE32-E72D297353CC}">
              <c16:uniqueId val="{00000002-2AD4-1F43-9B63-CFDB87E77C0B}"/>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2AD4-1F43-9B63-CFDB87E77C0B}"/>
              </c:ext>
            </c:extLst>
          </c:dPt>
          <c:val>
            <c:numRef>
              <c:f>'Unconventional Oil'!$G$13</c:f>
              <c:numCache>
                <c:formatCode>0%</c:formatCode>
                <c:ptCount val="1"/>
                <c:pt idx="0">
                  <c:v>1.1614730228738991E-3</c:v>
                </c:pt>
              </c:numCache>
            </c:numRef>
          </c:val>
          <c:extLst>
            <c:ext xmlns:c16="http://schemas.microsoft.com/office/drawing/2014/chart" uri="{C3380CC4-5D6E-409C-BE32-E72D297353CC}">
              <c16:uniqueId val="{00000005-2AD4-1F43-9B63-CFDB87E77C0B}"/>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2AD4-1F43-9B63-CFDB87E77C0B}"/>
              </c:ext>
            </c:extLst>
          </c:dPt>
          <c:val>
            <c:numRef>
              <c:f>'Unconventional Oil'!$H$13</c:f>
              <c:numCache>
                <c:formatCode>0%</c:formatCode>
                <c:ptCount val="1"/>
                <c:pt idx="0">
                  <c:v>1.1611564747912279E-2</c:v>
                </c:pt>
              </c:numCache>
            </c:numRef>
          </c:val>
          <c:extLst>
            <c:ext xmlns:c16="http://schemas.microsoft.com/office/drawing/2014/chart" uri="{C3380CC4-5D6E-409C-BE32-E72D297353CC}">
              <c16:uniqueId val="{00000008-2AD4-1F43-9B63-CFDB87E77C0B}"/>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2AD4-1F43-9B63-CFDB87E77C0B}"/>
              </c:ext>
            </c:extLst>
          </c:dPt>
          <c:val>
            <c:numRef>
              <c:f>'Unconventional Oil'!$I$13</c:f>
              <c:numCache>
                <c:formatCode>0%</c:formatCode>
                <c:ptCount val="1"/>
                <c:pt idx="0">
                  <c:v>0.20961436876987211</c:v>
                </c:pt>
              </c:numCache>
            </c:numRef>
          </c:val>
          <c:extLst>
            <c:ext xmlns:c16="http://schemas.microsoft.com/office/drawing/2014/chart" uri="{C3380CC4-5D6E-409C-BE32-E72D297353CC}">
              <c16:uniqueId val="{0000000B-2AD4-1F43-9B63-CFDB87E77C0B}"/>
            </c:ext>
          </c:extLst>
        </c:ser>
        <c:dLbls>
          <c:showLegendKey val="0"/>
          <c:showVal val="0"/>
          <c:showCatName val="0"/>
          <c:showSerName val="0"/>
          <c:showPercent val="0"/>
          <c:showBubbleSize val="0"/>
        </c:dLbls>
        <c:gapWidth val="0"/>
        <c:overlap val="100"/>
        <c:axId val="-69329616"/>
        <c:axId val="-69258304"/>
      </c:barChart>
      <c:valAx>
        <c:axId val="-69258304"/>
        <c:scaling>
          <c:orientation val="minMax"/>
        </c:scaling>
        <c:delete val="1"/>
        <c:axPos val="b"/>
        <c:numFmt formatCode="0%" sourceLinked="0"/>
        <c:majorTickMark val="out"/>
        <c:minorTickMark val="none"/>
        <c:tickLblPos val="nextTo"/>
        <c:crossAx val="-69329616"/>
        <c:crosses val="autoZero"/>
        <c:crossBetween val="between"/>
      </c:valAx>
      <c:catAx>
        <c:axId val="-69329616"/>
        <c:scaling>
          <c:orientation val="minMax"/>
        </c:scaling>
        <c:delete val="1"/>
        <c:axPos val="l"/>
        <c:majorTickMark val="out"/>
        <c:minorTickMark val="none"/>
        <c:tickLblPos val="nextTo"/>
        <c:crossAx val="-6925830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'Unconventional Oil'!$W$13</c:f>
              <c:numCache>
                <c:formatCode>0%</c:formatCode>
                <c:ptCount val="1"/>
                <c:pt idx="0">
                  <c:v>0.18252374417911132</c:v>
                </c:pt>
              </c:numCache>
            </c:numRef>
          </c:val>
          <c:extLst>
            <c:ext xmlns:c16="http://schemas.microsoft.com/office/drawing/2014/chart" uri="{C3380CC4-5D6E-409C-BE32-E72D297353CC}">
              <c16:uniqueId val="{00000000-F3E8-5145-BEE7-247B9CF97DDE}"/>
            </c:ext>
          </c:extLst>
        </c:ser>
        <c:ser>
          <c:idx val="0"/>
          <c:order val="1"/>
          <c:tx>
            <c:v>Surface</c:v>
          </c:tx>
          <c:spPr>
            <a:solidFill>
              <a:srgbClr val="335C89"/>
            </a:solidFill>
            <a:ln w="19050">
              <a:solidFill>
                <a:schemeClr val="lt1"/>
              </a:solidFill>
            </a:ln>
            <a:effectLst/>
          </c:spPr>
          <c:invertIfNegative val="0"/>
          <c:val>
            <c:numRef>
              <c:f>'Unconventional Oil'!$X$13</c:f>
              <c:numCache>
                <c:formatCode>0%</c:formatCode>
                <c:ptCount val="1"/>
                <c:pt idx="0">
                  <c:v>0.81640111053836617</c:v>
                </c:pt>
              </c:numCache>
            </c:numRef>
          </c:val>
          <c:extLst>
            <c:ext xmlns:c16="http://schemas.microsoft.com/office/drawing/2014/chart" uri="{C3380CC4-5D6E-409C-BE32-E72D297353CC}">
              <c16:uniqueId val="{00000001-F3E8-5145-BEE7-247B9CF97DDE}"/>
            </c:ext>
          </c:extLst>
        </c:ser>
        <c:ser>
          <c:idx val="2"/>
          <c:order val="2"/>
          <c:tx>
            <c:v>Reuse</c:v>
          </c:tx>
          <c:spPr>
            <a:solidFill>
              <a:srgbClr val="19416C"/>
            </a:solidFill>
            <a:ln w="19050">
              <a:solidFill>
                <a:schemeClr val="lt1"/>
              </a:solidFill>
            </a:ln>
            <a:effectLst/>
          </c:spPr>
          <c:invertIfNegative val="0"/>
          <c:val>
            <c:numRef>
              <c:f>'Unconventional Oil'!$Y$13</c:f>
              <c:numCache>
                <c:formatCode>0%</c:formatCode>
                <c:ptCount val="1"/>
                <c:pt idx="0">
                  <c:v>1.0751452825224631E-3</c:v>
                </c:pt>
              </c:numCache>
            </c:numRef>
          </c:val>
          <c:extLst>
            <c:ext xmlns:c16="http://schemas.microsoft.com/office/drawing/2014/chart" uri="{C3380CC4-5D6E-409C-BE32-E72D297353CC}">
              <c16:uniqueId val="{00000002-F3E8-5145-BEE7-247B9CF97DDE}"/>
            </c:ext>
          </c:extLst>
        </c:ser>
        <c:dLbls>
          <c:showLegendKey val="0"/>
          <c:showVal val="0"/>
          <c:showCatName val="0"/>
          <c:showSerName val="0"/>
          <c:showPercent val="0"/>
          <c:showBubbleSize val="0"/>
        </c:dLbls>
        <c:gapWidth val="0"/>
        <c:overlap val="100"/>
        <c:axId val="67947856"/>
        <c:axId val="39828608"/>
      </c:barChart>
      <c:valAx>
        <c:axId val="39828608"/>
        <c:scaling>
          <c:orientation val="minMax"/>
        </c:scaling>
        <c:delete val="1"/>
        <c:axPos val="b"/>
        <c:numFmt formatCode="0%" sourceLinked="0"/>
        <c:majorTickMark val="out"/>
        <c:minorTickMark val="none"/>
        <c:tickLblPos val="nextTo"/>
        <c:crossAx val="67947856"/>
        <c:crosses val="autoZero"/>
        <c:crossBetween val="between"/>
      </c:valAx>
      <c:catAx>
        <c:axId val="67947856"/>
        <c:scaling>
          <c:orientation val="minMax"/>
        </c:scaling>
        <c:delete val="1"/>
        <c:axPos val="l"/>
        <c:majorTickMark val="out"/>
        <c:minorTickMark val="none"/>
        <c:tickLblPos val="nextTo"/>
        <c:crossAx val="3982860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'Unconventional Oil'!$R$13</c:f>
              <c:numCache>
                <c:formatCode>0%</c:formatCode>
                <c:ptCount val="1"/>
                <c:pt idx="0">
                  <c:v>0.63333560241868603</c:v>
                </c:pt>
              </c:numCache>
            </c:numRef>
          </c:val>
          <c:extLst>
            <c:ext xmlns:c16="http://schemas.microsoft.com/office/drawing/2014/chart" uri="{C3380CC4-5D6E-409C-BE32-E72D297353CC}">
              <c16:uniqueId val="{00000000-BDF4-F247-9BC8-021082707118}"/>
            </c:ext>
          </c:extLst>
        </c:ser>
        <c:ser>
          <c:idx val="1"/>
          <c:order val="1"/>
          <c:tx>
            <c:v>Brackish</c:v>
          </c:tx>
          <c:spPr>
            <a:solidFill>
              <a:srgbClr val="98D862"/>
            </a:solidFill>
            <a:ln w="19050">
              <a:solidFill>
                <a:schemeClr val="lt1"/>
              </a:solidFill>
            </a:ln>
            <a:effectLst/>
          </c:spPr>
          <c:invertIfNegative val="0"/>
          <c:val>
            <c:numRef>
              <c:f>'Unconventional Oil'!$S$13</c:f>
              <c:numCache>
                <c:formatCode>0%</c:formatCode>
                <c:ptCount val="1"/>
                <c:pt idx="0">
                  <c:v>3.3274778294702226E-2</c:v>
                </c:pt>
              </c:numCache>
            </c:numRef>
          </c:val>
          <c:extLst>
            <c:ext xmlns:c16="http://schemas.microsoft.com/office/drawing/2014/chart" uri="{C3380CC4-5D6E-409C-BE32-E72D297353CC}">
              <c16:uniqueId val="{00000001-BDF4-F247-9BC8-021082707118}"/>
            </c:ext>
          </c:extLst>
        </c:ser>
        <c:ser>
          <c:idx val="2"/>
          <c:order val="2"/>
          <c:tx>
            <c:v>Saline</c:v>
          </c:tx>
          <c:spPr>
            <a:solidFill>
              <a:srgbClr val="6EB739"/>
            </a:solidFill>
            <a:ln w="19050">
              <a:solidFill>
                <a:schemeClr val="lt1"/>
              </a:solidFill>
            </a:ln>
            <a:effectLst/>
          </c:spPr>
          <c:invertIfNegative val="0"/>
          <c:val>
            <c:numRef>
              <c:f>'Unconventional Oil'!$T$13</c:f>
              <c:numCache>
                <c:formatCode>0%</c:formatCode>
                <c:ptCount val="1"/>
                <c:pt idx="0">
                  <c:v>0.26994658982365216</c:v>
                </c:pt>
              </c:numCache>
            </c:numRef>
          </c:val>
          <c:extLst>
            <c:ext xmlns:c16="http://schemas.microsoft.com/office/drawing/2014/chart" uri="{C3380CC4-5D6E-409C-BE32-E72D297353CC}">
              <c16:uniqueId val="{00000002-BDF4-F247-9BC8-021082707118}"/>
            </c:ext>
          </c:extLst>
        </c:ser>
        <c:ser>
          <c:idx val="3"/>
          <c:order val="3"/>
          <c:tx>
            <c:v>Not RO</c:v>
          </c:tx>
          <c:spPr>
            <a:solidFill>
              <a:srgbClr val="5A9D2C"/>
            </a:solidFill>
            <a:ln w="19050">
              <a:solidFill>
                <a:schemeClr val="lt1"/>
              </a:solidFill>
            </a:ln>
            <a:effectLst/>
          </c:spPr>
          <c:invertIfNegative val="0"/>
          <c:val>
            <c:numRef>
              <c:f>'Unconventional Oil'!$U$13</c:f>
              <c:numCache>
                <c:formatCode>0%</c:formatCode>
                <c:ptCount val="1"/>
                <c:pt idx="0">
                  <c:v>6.3443029462959558E-2</c:v>
                </c:pt>
              </c:numCache>
            </c:numRef>
          </c:val>
          <c:extLst>
            <c:ext xmlns:c16="http://schemas.microsoft.com/office/drawing/2014/chart" uri="{C3380CC4-5D6E-409C-BE32-E72D297353CC}">
              <c16:uniqueId val="{00000003-BDF4-F247-9BC8-021082707118}"/>
            </c:ext>
          </c:extLst>
        </c:ser>
        <c:dLbls>
          <c:showLegendKey val="0"/>
          <c:showVal val="0"/>
          <c:showCatName val="0"/>
          <c:showSerName val="0"/>
          <c:showPercent val="0"/>
          <c:showBubbleSize val="0"/>
        </c:dLbls>
        <c:gapWidth val="0"/>
        <c:overlap val="100"/>
        <c:axId val="69865760"/>
        <c:axId val="69862928"/>
      </c:barChart>
      <c:valAx>
        <c:axId val="69862928"/>
        <c:scaling>
          <c:orientation val="minMax"/>
        </c:scaling>
        <c:delete val="1"/>
        <c:axPos val="b"/>
        <c:numFmt formatCode="0%" sourceLinked="1"/>
        <c:majorTickMark val="out"/>
        <c:minorTickMark val="none"/>
        <c:tickLblPos val="nextTo"/>
        <c:crossAx val="69865760"/>
        <c:crosses val="autoZero"/>
        <c:crossBetween val="between"/>
      </c:valAx>
      <c:catAx>
        <c:axId val="69865760"/>
        <c:scaling>
          <c:orientation val="minMax"/>
        </c:scaling>
        <c:delete val="1"/>
        <c:axPos val="l"/>
        <c:majorTickMark val="out"/>
        <c:minorTickMark val="none"/>
        <c:tickLblPos val="nextTo"/>
        <c:crossAx val="6986292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Ethanol!$B$15:$B$21</c:f>
              <c:strCache>
                <c:ptCount val="7"/>
                <c:pt idx="0">
                  <c:v>Corn irrigation for ethanol</c:v>
                </c:pt>
                <c:pt idx="3">
                  <c:v>Ethanol biorefining</c:v>
                </c:pt>
                <c:pt idx="6">
                  <c:v>Ethanol combustion</c:v>
                </c:pt>
              </c:strCache>
            </c:strRef>
          </c:cat>
          <c:val>
            <c:numRef>
              <c:f>Ethanol!$O$15:$O$21</c:f>
              <c:numCache>
                <c:formatCode>0.0E+00</c:formatCode>
                <c:ptCount val="7"/>
                <c:pt idx="0">
                  <c:v>4377305574.9254141</c:v>
                </c:pt>
                <c:pt idx="3">
                  <c:v>169883847.57412225</c:v>
                </c:pt>
                <c:pt idx="6">
                  <c:v>-51476826.815685607</c:v>
                </c:pt>
              </c:numCache>
            </c:numRef>
          </c:val>
          <c:extLst>
            <c:ext xmlns:c16="http://schemas.microsoft.com/office/drawing/2014/chart" uri="{C3380CC4-5D6E-409C-BE32-E72D297353CC}">
              <c16:uniqueId val="{00000000-5E2C-2040-87C5-DFF896A3EBB3}"/>
            </c:ext>
          </c:extLst>
        </c:ser>
        <c:dLbls>
          <c:showLegendKey val="0"/>
          <c:showVal val="0"/>
          <c:showCatName val="0"/>
          <c:showSerName val="0"/>
          <c:showPercent val="0"/>
          <c:showBubbleSize val="0"/>
        </c:dLbls>
        <c:gapWidth val="0"/>
        <c:axId val="69902624"/>
        <c:axId val="69904944"/>
      </c:barChart>
      <c:catAx>
        <c:axId val="6990262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904944"/>
        <c:crosses val="autoZero"/>
        <c:auto val="1"/>
        <c:lblAlgn val="ctr"/>
        <c:lblOffset val="0"/>
        <c:noMultiLvlLbl val="0"/>
      </c:catAx>
      <c:valAx>
        <c:axId val="69904944"/>
        <c:scaling>
          <c:orientation val="minMax"/>
          <c:max val="5000000000"/>
          <c:min val="-2000000000"/>
        </c:scaling>
        <c:delete val="0"/>
        <c:axPos val="b"/>
        <c:numFmt formatCode="0.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902624"/>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4516185476815"/>
          <c:y val="6.8733960338291003E-2"/>
          <c:w val="0.60272003499562499"/>
          <c:h val="0.83437518226888296"/>
        </c:manualLayout>
      </c:layout>
      <c:barChart>
        <c:barDir val="bar"/>
        <c:grouping val="clustered"/>
        <c:varyColors val="0"/>
        <c:ser>
          <c:idx val="0"/>
          <c:order val="0"/>
          <c:spPr>
            <a:solidFill>
              <a:schemeClr val="tx1"/>
            </a:solidFill>
            <a:ln>
              <a:noFill/>
            </a:ln>
            <a:effectLst/>
          </c:spPr>
          <c:invertIfNegative val="0"/>
          <c:cat>
            <c:strRef>
              <c:f>Ethanol!$B$15:$B$21</c:f>
              <c:strCache>
                <c:ptCount val="7"/>
                <c:pt idx="0">
                  <c:v>Corn irrigation for ethanol</c:v>
                </c:pt>
                <c:pt idx="3">
                  <c:v>Ethanol biorefining</c:v>
                </c:pt>
                <c:pt idx="6">
                  <c:v>Ethanol combustion</c:v>
                </c:pt>
              </c:strCache>
            </c:strRef>
          </c:cat>
          <c:val>
            <c:numRef>
              <c:f>Ethanol!$C$15:$C$21</c:f>
              <c:numCache>
                <c:formatCode>0.0E+00</c:formatCode>
                <c:ptCount val="7"/>
                <c:pt idx="0">
                  <c:v>3529635973.726007</c:v>
                </c:pt>
                <c:pt idx="3">
                  <c:v>152895462.81671003</c:v>
                </c:pt>
                <c:pt idx="6">
                  <c:v>-51476826.815685607</c:v>
                </c:pt>
              </c:numCache>
            </c:numRef>
          </c:val>
          <c:extLst>
            <c:ext xmlns:c16="http://schemas.microsoft.com/office/drawing/2014/chart" uri="{C3380CC4-5D6E-409C-BE32-E72D297353CC}">
              <c16:uniqueId val="{00000000-4F08-5342-A6E9-0B4CF09C0F1F}"/>
            </c:ext>
          </c:extLst>
        </c:ser>
        <c:dLbls>
          <c:showLegendKey val="0"/>
          <c:showVal val="0"/>
          <c:showCatName val="0"/>
          <c:showSerName val="0"/>
          <c:showPercent val="0"/>
          <c:showBubbleSize val="0"/>
        </c:dLbls>
        <c:gapWidth val="0"/>
        <c:axId val="69923776"/>
        <c:axId val="69926096"/>
      </c:barChart>
      <c:catAx>
        <c:axId val="6992377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926096"/>
        <c:crosses val="autoZero"/>
        <c:auto val="1"/>
        <c:lblAlgn val="ctr"/>
        <c:lblOffset val="0"/>
        <c:noMultiLvlLbl val="0"/>
      </c:catAx>
      <c:valAx>
        <c:axId val="69926096"/>
        <c:scaling>
          <c:orientation val="minMax"/>
          <c:max val="5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923776"/>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Ethanol!$K$13</c:f>
              <c:numCache>
                <c:formatCode>0%</c:formatCode>
                <c:ptCount val="1"/>
                <c:pt idx="0">
                  <c:v>0.95000000000000007</c:v>
                </c:pt>
              </c:numCache>
            </c:numRef>
          </c:val>
          <c:extLst>
            <c:ext xmlns:c16="http://schemas.microsoft.com/office/drawing/2014/chart" uri="{C3380CC4-5D6E-409C-BE32-E72D297353CC}">
              <c16:uniqueId val="{00000000-82CA-0D45-B563-09BFCB9D77FB}"/>
            </c:ext>
          </c:extLst>
        </c:ser>
        <c:ser>
          <c:idx val="0"/>
          <c:order val="1"/>
          <c:tx>
            <c:v>Surface</c:v>
          </c:tx>
          <c:spPr>
            <a:solidFill>
              <a:srgbClr val="335C89"/>
            </a:solidFill>
            <a:ln w="19050">
              <a:solidFill>
                <a:schemeClr val="lt1"/>
              </a:solidFill>
            </a:ln>
            <a:effectLst/>
          </c:spPr>
          <c:invertIfNegative val="0"/>
          <c:val>
            <c:numRef>
              <c:f>Ethanol!$L$13</c:f>
              <c:numCache>
                <c:formatCode>0%</c:formatCode>
                <c:ptCount val="1"/>
                <c:pt idx="0">
                  <c:v>0.05</c:v>
                </c:pt>
              </c:numCache>
            </c:numRef>
          </c:val>
          <c:extLst>
            <c:ext xmlns:c16="http://schemas.microsoft.com/office/drawing/2014/chart" uri="{C3380CC4-5D6E-409C-BE32-E72D297353CC}">
              <c16:uniqueId val="{00000001-82CA-0D45-B563-09BFCB9D77FB}"/>
            </c:ext>
          </c:extLst>
        </c:ser>
        <c:ser>
          <c:idx val="2"/>
          <c:order val="2"/>
          <c:tx>
            <c:v>Reuse</c:v>
          </c:tx>
          <c:spPr>
            <a:solidFill>
              <a:srgbClr val="19416C"/>
            </a:solidFill>
            <a:ln w="19050">
              <a:solidFill>
                <a:schemeClr val="lt1"/>
              </a:solidFill>
            </a:ln>
            <a:effectLst/>
          </c:spPr>
          <c:invertIfNegative val="0"/>
          <c:val>
            <c:numRef>
              <c:f>Ethanol!$M$13</c:f>
              <c:numCache>
                <c:formatCode>0%</c:formatCode>
                <c:ptCount val="1"/>
                <c:pt idx="0">
                  <c:v>0</c:v>
                </c:pt>
              </c:numCache>
            </c:numRef>
          </c:val>
          <c:extLst>
            <c:ext xmlns:c16="http://schemas.microsoft.com/office/drawing/2014/chart" uri="{C3380CC4-5D6E-409C-BE32-E72D297353CC}">
              <c16:uniqueId val="{00000002-82CA-0D45-B563-09BFCB9D77FB}"/>
            </c:ext>
          </c:extLst>
        </c:ser>
        <c:dLbls>
          <c:showLegendKey val="0"/>
          <c:showVal val="0"/>
          <c:showCatName val="0"/>
          <c:showSerName val="0"/>
          <c:showPercent val="0"/>
          <c:showBubbleSize val="0"/>
        </c:dLbls>
        <c:gapWidth val="0"/>
        <c:overlap val="100"/>
        <c:axId val="69953792"/>
        <c:axId val="69951472"/>
      </c:barChart>
      <c:valAx>
        <c:axId val="69951472"/>
        <c:scaling>
          <c:orientation val="minMax"/>
          <c:min val="0"/>
        </c:scaling>
        <c:delete val="1"/>
        <c:axPos val="b"/>
        <c:numFmt formatCode="0%" sourceLinked="0"/>
        <c:majorTickMark val="out"/>
        <c:minorTickMark val="none"/>
        <c:tickLblPos val="nextTo"/>
        <c:crossAx val="69953792"/>
        <c:crosses val="autoZero"/>
        <c:crossBetween val="between"/>
      </c:valAx>
      <c:catAx>
        <c:axId val="69953792"/>
        <c:scaling>
          <c:orientation val="minMax"/>
        </c:scaling>
        <c:delete val="1"/>
        <c:axPos val="l"/>
        <c:majorTickMark val="out"/>
        <c:minorTickMark val="none"/>
        <c:tickLblPos val="nextTo"/>
        <c:crossAx val="6995147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12950600801103E-2"/>
          <c:y val="6.5476190476190493E-2"/>
          <c:w val="0.93057409879839803"/>
          <c:h val="0.86309523809523803"/>
        </c:manualLayout>
      </c:layout>
      <c:barChart>
        <c:barDir val="bar"/>
        <c:grouping val="stacked"/>
        <c:varyColors val="0"/>
        <c:ser>
          <c:idx val="0"/>
          <c:order val="0"/>
          <c:tx>
            <c:v>Consumption, by conversion process</c:v>
          </c:tx>
          <c:spPr>
            <a:solidFill>
              <a:schemeClr val="tx1"/>
            </a:solidFill>
            <a:ln>
              <a:noFill/>
            </a:ln>
            <a:effectLst/>
          </c:spPr>
          <c:invertIfNegative val="0"/>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1-D177-BB4C-9915-64359EB54676}"/>
              </c:ext>
            </c:extLst>
          </c:dPt>
          <c:dPt>
            <c:idx val="5"/>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3-D177-BB4C-9915-64359EB54676}"/>
              </c:ext>
            </c:extLst>
          </c:dPt>
          <c:dPt>
            <c:idx val="6"/>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D177-BB4C-9915-64359EB54676}"/>
              </c:ext>
            </c:extLst>
          </c:dPt>
          <c:dPt>
            <c:idx val="7"/>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7-D177-BB4C-9915-64359EB54676}"/>
              </c:ext>
            </c:extLst>
          </c:dPt>
          <c:cat>
            <c:strRef>
              <c:f>'Volume Summary'!$B$17:$B$25</c:f>
              <c:strCache>
                <c:ptCount val="9"/>
                <c:pt idx="0">
                  <c:v>Production </c:v>
                </c:pt>
                <c:pt idx="1">
                  <c:v>Processing </c:v>
                </c:pt>
                <c:pt idx="2">
                  <c:v>Transport </c:v>
                </c:pt>
                <c:pt idx="3">
                  <c:v>Conversion</c:v>
                </c:pt>
                <c:pt idx="4">
                  <c:v>Power Gen, Once Through Cooling</c:v>
                </c:pt>
                <c:pt idx="5">
                  <c:v>Power Gen, Recirculating Cooling Ponds</c:v>
                </c:pt>
                <c:pt idx="6">
                  <c:v>Power Gen, Recirculating Cooling Towers</c:v>
                </c:pt>
                <c:pt idx="7">
                  <c:v>Refining</c:v>
                </c:pt>
                <c:pt idx="8">
                  <c:v>Post-conversion </c:v>
                </c:pt>
              </c:strCache>
            </c:strRef>
          </c:cat>
          <c:val>
            <c:numRef>
              <c:f>'Volume Summary'!$C$17:$C$25</c:f>
              <c:numCache>
                <c:formatCode>0.0E+00</c:formatCode>
                <c:ptCount val="9"/>
                <c:pt idx="0">
                  <c:v>10335405494</c:v>
                </c:pt>
                <c:pt idx="1">
                  <c:v>127825520</c:v>
                </c:pt>
                <c:pt idx="2">
                  <c:v>234096560</c:v>
                </c:pt>
                <c:pt idx="3">
                  <c:v>5317639485.0019302</c:v>
                </c:pt>
                <c:pt idx="4">
                  <c:v>1039011841.5411607</c:v>
                </c:pt>
                <c:pt idx="5">
                  <c:v>553682702.96656609</c:v>
                </c:pt>
                <c:pt idx="6">
                  <c:v>3135394115.5094566</c:v>
                </c:pt>
                <c:pt idx="7">
                  <c:v>594434760.51086938</c:v>
                </c:pt>
                <c:pt idx="8">
                  <c:v>372470239.06453657</c:v>
                </c:pt>
              </c:numCache>
            </c:numRef>
          </c:val>
          <c:extLst>
            <c:ext xmlns:c16="http://schemas.microsoft.com/office/drawing/2014/chart" uri="{C3380CC4-5D6E-409C-BE32-E72D297353CC}">
              <c16:uniqueId val="{00000008-D177-BB4C-9915-64359EB54676}"/>
            </c:ext>
          </c:extLst>
        </c:ser>
        <c:ser>
          <c:idx val="1"/>
          <c:order val="1"/>
          <c:tx>
            <c:v>Return flow, by conversion process</c:v>
          </c:tx>
          <c:spPr>
            <a:solidFill>
              <a:schemeClr val="bg1">
                <a:lumMod val="75000"/>
              </a:schemeClr>
            </a:solidFill>
            <a:ln>
              <a:noFill/>
            </a:ln>
            <a:effectLst/>
          </c:spPr>
          <c:invertIfNegative val="0"/>
          <c:dPt>
            <c:idx val="4"/>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A-D177-BB4C-9915-64359EB54676}"/>
              </c:ext>
            </c:extLst>
          </c:dPt>
          <c:dPt>
            <c:idx val="5"/>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C-D177-BB4C-9915-64359EB54676}"/>
              </c:ext>
            </c:extLst>
          </c:dPt>
          <c:dPt>
            <c:idx val="6"/>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E-D177-BB4C-9915-64359EB54676}"/>
              </c:ext>
            </c:extLst>
          </c:dPt>
          <c:dPt>
            <c:idx val="7"/>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10-D177-BB4C-9915-64359EB54676}"/>
              </c:ext>
            </c:extLst>
          </c:dPt>
          <c:cat>
            <c:strRef>
              <c:f>'Volume Summary'!$B$17:$B$25</c:f>
              <c:strCache>
                <c:ptCount val="9"/>
                <c:pt idx="0">
                  <c:v>Production </c:v>
                </c:pt>
                <c:pt idx="1">
                  <c:v>Processing </c:v>
                </c:pt>
                <c:pt idx="2">
                  <c:v>Transport </c:v>
                </c:pt>
                <c:pt idx="3">
                  <c:v>Conversion</c:v>
                </c:pt>
                <c:pt idx="4">
                  <c:v>Power Gen, Once Through Cooling</c:v>
                </c:pt>
                <c:pt idx="5">
                  <c:v>Power Gen, Recirculating Cooling Ponds</c:v>
                </c:pt>
                <c:pt idx="6">
                  <c:v>Power Gen, Recirculating Cooling Towers</c:v>
                </c:pt>
                <c:pt idx="7">
                  <c:v>Refining</c:v>
                </c:pt>
                <c:pt idx="8">
                  <c:v>Post-conversion </c:v>
                </c:pt>
              </c:strCache>
            </c:strRef>
          </c:cat>
          <c:val>
            <c:numRef>
              <c:f>'Volume Summary'!$E$17:$E$25</c:f>
              <c:numCache>
                <c:formatCode>0.0E+00</c:formatCode>
                <c:ptCount val="9"/>
                <c:pt idx="0">
                  <c:v>3154137632</c:v>
                </c:pt>
                <c:pt idx="1">
                  <c:v>710750299</c:v>
                </c:pt>
                <c:pt idx="2">
                  <c:v>8822082</c:v>
                </c:pt>
                <c:pt idx="3">
                  <c:v>199645042673.99808</c:v>
                </c:pt>
                <c:pt idx="4">
                  <c:v>164455782863.45883</c:v>
                </c:pt>
                <c:pt idx="5">
                  <c:v>33926059780.033432</c:v>
                </c:pt>
                <c:pt idx="6">
                  <c:v>1019544370.4905434</c:v>
                </c:pt>
                <c:pt idx="7">
                  <c:v>237365543.48913062</c:v>
                </c:pt>
                <c:pt idx="8">
                  <c:v>0</c:v>
                </c:pt>
              </c:numCache>
            </c:numRef>
          </c:val>
          <c:extLst>
            <c:ext xmlns:c16="http://schemas.microsoft.com/office/drawing/2014/chart" uri="{C3380CC4-5D6E-409C-BE32-E72D297353CC}">
              <c16:uniqueId val="{00000011-D177-BB4C-9915-64359EB54676}"/>
            </c:ext>
          </c:extLst>
        </c:ser>
        <c:dLbls>
          <c:showLegendKey val="0"/>
          <c:showVal val="0"/>
          <c:showCatName val="0"/>
          <c:showSerName val="0"/>
          <c:showPercent val="0"/>
          <c:showBubbleSize val="0"/>
        </c:dLbls>
        <c:gapWidth val="9"/>
        <c:overlap val="100"/>
        <c:axId val="-32020880"/>
        <c:axId val="-32018560"/>
      </c:barChart>
      <c:catAx>
        <c:axId val="-32020880"/>
        <c:scaling>
          <c:orientation val="maxMin"/>
        </c:scaling>
        <c:delete val="1"/>
        <c:axPos val="l"/>
        <c:numFmt formatCode="General" sourceLinked="1"/>
        <c:majorTickMark val="none"/>
        <c:minorTickMark val="none"/>
        <c:tickLblPos val="nextTo"/>
        <c:crossAx val="-32018560"/>
        <c:crosses val="autoZero"/>
        <c:auto val="1"/>
        <c:lblAlgn val="ctr"/>
        <c:lblOffset val="100"/>
        <c:noMultiLvlLbl val="0"/>
      </c:catAx>
      <c:valAx>
        <c:axId val="-32018560"/>
        <c:scaling>
          <c:orientation val="minMax"/>
        </c:scaling>
        <c:delete val="1"/>
        <c:axPos val="t"/>
        <c:numFmt formatCode="0.0E+00" sourceLinked="1"/>
        <c:majorTickMark val="out"/>
        <c:minorTickMark val="none"/>
        <c:tickLblPos val="nextTo"/>
        <c:crossAx val="-32020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B2B9-FE4C-954F-E423E3D6C16B}"/>
              </c:ext>
            </c:extLst>
          </c:dPt>
          <c:val>
            <c:numRef>
              <c:f>Ethanol!$F$13</c:f>
              <c:numCache>
                <c:formatCode>0%</c:formatCode>
                <c:ptCount val="1"/>
                <c:pt idx="0">
                  <c:v>1</c:v>
                </c:pt>
              </c:numCache>
            </c:numRef>
          </c:val>
          <c:extLst>
            <c:ext xmlns:c16="http://schemas.microsoft.com/office/drawing/2014/chart" uri="{C3380CC4-5D6E-409C-BE32-E72D297353CC}">
              <c16:uniqueId val="{00000002-B2B9-FE4C-954F-E423E3D6C16B}"/>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B2B9-FE4C-954F-E423E3D6C16B}"/>
              </c:ext>
            </c:extLst>
          </c:dPt>
          <c:val>
            <c:numRef>
              <c:f>Ethanol!$G$13</c:f>
              <c:numCache>
                <c:formatCode>0%</c:formatCode>
                <c:ptCount val="1"/>
                <c:pt idx="0">
                  <c:v>0</c:v>
                </c:pt>
              </c:numCache>
            </c:numRef>
          </c:val>
          <c:extLst>
            <c:ext xmlns:c16="http://schemas.microsoft.com/office/drawing/2014/chart" uri="{C3380CC4-5D6E-409C-BE32-E72D297353CC}">
              <c16:uniqueId val="{00000005-B2B9-FE4C-954F-E423E3D6C16B}"/>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B2B9-FE4C-954F-E423E3D6C16B}"/>
              </c:ext>
            </c:extLst>
          </c:dPt>
          <c:val>
            <c:numRef>
              <c:f>Ethanol!$H$13</c:f>
              <c:numCache>
                <c:formatCode>0%</c:formatCode>
                <c:ptCount val="1"/>
                <c:pt idx="0">
                  <c:v>0</c:v>
                </c:pt>
              </c:numCache>
            </c:numRef>
          </c:val>
          <c:extLst>
            <c:ext xmlns:c16="http://schemas.microsoft.com/office/drawing/2014/chart" uri="{C3380CC4-5D6E-409C-BE32-E72D297353CC}">
              <c16:uniqueId val="{00000008-B2B9-FE4C-954F-E423E3D6C16B}"/>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B2B9-FE4C-954F-E423E3D6C16B}"/>
              </c:ext>
            </c:extLst>
          </c:dPt>
          <c:val>
            <c:numRef>
              <c:f>Ethanol!$I$13</c:f>
              <c:numCache>
                <c:formatCode>0%</c:formatCode>
                <c:ptCount val="1"/>
                <c:pt idx="0">
                  <c:v>0</c:v>
                </c:pt>
              </c:numCache>
            </c:numRef>
          </c:val>
          <c:extLst>
            <c:ext xmlns:c16="http://schemas.microsoft.com/office/drawing/2014/chart" uri="{C3380CC4-5D6E-409C-BE32-E72D297353CC}">
              <c16:uniqueId val="{0000000B-B2B9-FE4C-954F-E423E3D6C16B}"/>
            </c:ext>
          </c:extLst>
        </c:ser>
        <c:dLbls>
          <c:showLegendKey val="0"/>
          <c:showVal val="0"/>
          <c:showCatName val="0"/>
          <c:showSerName val="0"/>
          <c:showPercent val="0"/>
          <c:showBubbleSize val="0"/>
        </c:dLbls>
        <c:gapWidth val="0"/>
        <c:overlap val="100"/>
        <c:axId val="-31900736"/>
        <c:axId val="-31903568"/>
      </c:barChart>
      <c:valAx>
        <c:axId val="-31903568"/>
        <c:scaling>
          <c:orientation val="minMax"/>
        </c:scaling>
        <c:delete val="1"/>
        <c:axPos val="b"/>
        <c:numFmt formatCode="0%" sourceLinked="1"/>
        <c:majorTickMark val="out"/>
        <c:minorTickMark val="none"/>
        <c:tickLblPos val="nextTo"/>
        <c:crossAx val="-31900736"/>
        <c:crosses val="autoZero"/>
        <c:crossBetween val="between"/>
      </c:valAx>
      <c:catAx>
        <c:axId val="-31900736"/>
        <c:scaling>
          <c:orientation val="minMax"/>
        </c:scaling>
        <c:delete val="1"/>
        <c:axPos val="l"/>
        <c:majorTickMark val="out"/>
        <c:minorTickMark val="none"/>
        <c:tickLblPos val="nextTo"/>
        <c:crossAx val="-3190356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Ethanol!$W$13</c:f>
              <c:numCache>
                <c:formatCode>0%</c:formatCode>
                <c:ptCount val="1"/>
                <c:pt idx="0">
                  <c:v>0.95</c:v>
                </c:pt>
              </c:numCache>
            </c:numRef>
          </c:val>
          <c:extLst>
            <c:ext xmlns:c16="http://schemas.microsoft.com/office/drawing/2014/chart" uri="{C3380CC4-5D6E-409C-BE32-E72D297353CC}">
              <c16:uniqueId val="{00000000-E998-C942-A5F7-B9BFFFC83C15}"/>
            </c:ext>
          </c:extLst>
        </c:ser>
        <c:ser>
          <c:idx val="0"/>
          <c:order val="1"/>
          <c:tx>
            <c:v>Surface</c:v>
          </c:tx>
          <c:spPr>
            <a:solidFill>
              <a:srgbClr val="335C89"/>
            </a:solidFill>
            <a:ln w="19050">
              <a:solidFill>
                <a:schemeClr val="lt1"/>
              </a:solidFill>
            </a:ln>
            <a:effectLst/>
          </c:spPr>
          <c:invertIfNegative val="0"/>
          <c:val>
            <c:numRef>
              <c:f>Ethanol!$X$13</c:f>
              <c:numCache>
                <c:formatCode>0%</c:formatCode>
                <c:ptCount val="1"/>
                <c:pt idx="0">
                  <c:v>4.9999999999999996E-2</c:v>
                </c:pt>
              </c:numCache>
            </c:numRef>
          </c:val>
          <c:extLst>
            <c:ext xmlns:c16="http://schemas.microsoft.com/office/drawing/2014/chart" uri="{C3380CC4-5D6E-409C-BE32-E72D297353CC}">
              <c16:uniqueId val="{00000001-E998-C942-A5F7-B9BFFFC83C15}"/>
            </c:ext>
          </c:extLst>
        </c:ser>
        <c:ser>
          <c:idx val="2"/>
          <c:order val="2"/>
          <c:tx>
            <c:v>Reuse</c:v>
          </c:tx>
          <c:spPr>
            <a:solidFill>
              <a:srgbClr val="19416C"/>
            </a:solidFill>
            <a:ln w="19050">
              <a:solidFill>
                <a:schemeClr val="lt1"/>
              </a:solidFill>
            </a:ln>
            <a:effectLst/>
          </c:spPr>
          <c:invertIfNegative val="0"/>
          <c:val>
            <c:numRef>
              <c:f>Ethanol!$Y$13</c:f>
              <c:numCache>
                <c:formatCode>0%</c:formatCode>
                <c:ptCount val="1"/>
                <c:pt idx="0">
                  <c:v>0</c:v>
                </c:pt>
              </c:numCache>
            </c:numRef>
          </c:val>
          <c:extLst>
            <c:ext xmlns:c16="http://schemas.microsoft.com/office/drawing/2014/chart" uri="{C3380CC4-5D6E-409C-BE32-E72D297353CC}">
              <c16:uniqueId val="{00000002-E998-C942-A5F7-B9BFFFC83C15}"/>
            </c:ext>
          </c:extLst>
        </c:ser>
        <c:dLbls>
          <c:showLegendKey val="0"/>
          <c:showVal val="0"/>
          <c:showCatName val="0"/>
          <c:showSerName val="0"/>
          <c:showPercent val="0"/>
          <c:showBubbleSize val="0"/>
        </c:dLbls>
        <c:gapWidth val="0"/>
        <c:overlap val="100"/>
        <c:axId val="-31869472"/>
        <c:axId val="-31871792"/>
      </c:barChart>
      <c:valAx>
        <c:axId val="-31871792"/>
        <c:scaling>
          <c:orientation val="minMax"/>
          <c:min val="0"/>
        </c:scaling>
        <c:delete val="1"/>
        <c:axPos val="b"/>
        <c:numFmt formatCode="0%" sourceLinked="0"/>
        <c:majorTickMark val="out"/>
        <c:minorTickMark val="none"/>
        <c:tickLblPos val="nextTo"/>
        <c:crossAx val="-31869472"/>
        <c:crosses val="autoZero"/>
        <c:crossBetween val="between"/>
      </c:valAx>
      <c:catAx>
        <c:axId val="-31869472"/>
        <c:scaling>
          <c:orientation val="minMax"/>
        </c:scaling>
        <c:delete val="1"/>
        <c:axPos val="l"/>
        <c:majorTickMark val="out"/>
        <c:minorTickMark val="none"/>
        <c:tickLblPos val="nextTo"/>
        <c:crossAx val="-3187179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Ethanol!$R$13</c:f>
              <c:numCache>
                <c:formatCode>0%</c:formatCode>
                <c:ptCount val="1"/>
                <c:pt idx="0">
                  <c:v>1</c:v>
                </c:pt>
              </c:numCache>
            </c:numRef>
          </c:val>
          <c:extLst>
            <c:ext xmlns:c16="http://schemas.microsoft.com/office/drawing/2014/chart" uri="{C3380CC4-5D6E-409C-BE32-E72D297353CC}">
              <c16:uniqueId val="{00000000-0012-AB45-B0E1-6ABBEF91BE56}"/>
            </c:ext>
          </c:extLst>
        </c:ser>
        <c:ser>
          <c:idx val="1"/>
          <c:order val="1"/>
          <c:tx>
            <c:v>Brackish</c:v>
          </c:tx>
          <c:spPr>
            <a:solidFill>
              <a:srgbClr val="98D862"/>
            </a:solidFill>
            <a:ln w="19050">
              <a:solidFill>
                <a:schemeClr val="lt1"/>
              </a:solidFill>
            </a:ln>
            <a:effectLst/>
          </c:spPr>
          <c:invertIfNegative val="0"/>
          <c:val>
            <c:numRef>
              <c:f>Ethanol!$S$13</c:f>
              <c:numCache>
                <c:formatCode>0%</c:formatCode>
                <c:ptCount val="1"/>
                <c:pt idx="0">
                  <c:v>0</c:v>
                </c:pt>
              </c:numCache>
            </c:numRef>
          </c:val>
          <c:extLst>
            <c:ext xmlns:c16="http://schemas.microsoft.com/office/drawing/2014/chart" uri="{C3380CC4-5D6E-409C-BE32-E72D297353CC}">
              <c16:uniqueId val="{00000001-0012-AB45-B0E1-6ABBEF91BE56}"/>
            </c:ext>
          </c:extLst>
        </c:ser>
        <c:ser>
          <c:idx val="2"/>
          <c:order val="2"/>
          <c:tx>
            <c:v>Saline</c:v>
          </c:tx>
          <c:spPr>
            <a:solidFill>
              <a:srgbClr val="6EB739"/>
            </a:solidFill>
            <a:ln w="19050">
              <a:solidFill>
                <a:schemeClr val="lt1"/>
              </a:solidFill>
            </a:ln>
            <a:effectLst/>
          </c:spPr>
          <c:invertIfNegative val="0"/>
          <c:val>
            <c:numRef>
              <c:f>Ethanol!$T$13</c:f>
              <c:numCache>
                <c:formatCode>0%</c:formatCode>
                <c:ptCount val="1"/>
                <c:pt idx="0">
                  <c:v>0</c:v>
                </c:pt>
              </c:numCache>
            </c:numRef>
          </c:val>
          <c:extLst>
            <c:ext xmlns:c16="http://schemas.microsoft.com/office/drawing/2014/chart" uri="{C3380CC4-5D6E-409C-BE32-E72D297353CC}">
              <c16:uniqueId val="{00000002-0012-AB45-B0E1-6ABBEF91BE56}"/>
            </c:ext>
          </c:extLst>
        </c:ser>
        <c:ser>
          <c:idx val="3"/>
          <c:order val="3"/>
          <c:tx>
            <c:v>Not RO</c:v>
          </c:tx>
          <c:spPr>
            <a:solidFill>
              <a:srgbClr val="5A9D2C"/>
            </a:solidFill>
            <a:ln w="19050">
              <a:solidFill>
                <a:schemeClr val="lt1"/>
              </a:solidFill>
            </a:ln>
            <a:effectLst/>
          </c:spPr>
          <c:invertIfNegative val="0"/>
          <c:val>
            <c:numRef>
              <c:f>Ethanol!$U$13</c:f>
              <c:numCache>
                <c:formatCode>0%</c:formatCode>
                <c:ptCount val="1"/>
                <c:pt idx="0">
                  <c:v>0</c:v>
                </c:pt>
              </c:numCache>
            </c:numRef>
          </c:val>
          <c:extLst>
            <c:ext xmlns:c16="http://schemas.microsoft.com/office/drawing/2014/chart" uri="{C3380CC4-5D6E-409C-BE32-E72D297353CC}">
              <c16:uniqueId val="{00000003-0012-AB45-B0E1-6ABBEF91BE56}"/>
            </c:ext>
          </c:extLst>
        </c:ser>
        <c:dLbls>
          <c:showLegendKey val="0"/>
          <c:showVal val="0"/>
          <c:showCatName val="0"/>
          <c:showSerName val="0"/>
          <c:showPercent val="0"/>
          <c:showBubbleSize val="0"/>
        </c:dLbls>
        <c:gapWidth val="0"/>
        <c:overlap val="100"/>
        <c:axId val="-31836592"/>
        <c:axId val="-31839424"/>
      </c:barChart>
      <c:valAx>
        <c:axId val="-31839424"/>
        <c:scaling>
          <c:orientation val="minMax"/>
        </c:scaling>
        <c:delete val="1"/>
        <c:axPos val="b"/>
        <c:numFmt formatCode="0%" sourceLinked="0"/>
        <c:majorTickMark val="out"/>
        <c:minorTickMark val="none"/>
        <c:tickLblPos val="nextTo"/>
        <c:crossAx val="-31836592"/>
        <c:crosses val="autoZero"/>
        <c:crossBetween val="between"/>
      </c:valAx>
      <c:catAx>
        <c:axId val="-31836592"/>
        <c:scaling>
          <c:orientation val="minMax"/>
        </c:scaling>
        <c:delete val="1"/>
        <c:axPos val="l"/>
        <c:majorTickMark val="out"/>
        <c:minorTickMark val="none"/>
        <c:tickLblPos val="nextTo"/>
        <c:crossAx val="-3183942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tx1"/>
            </a:solidFill>
            <a:ln>
              <a:noFill/>
            </a:ln>
            <a:effectLst/>
          </c:spPr>
          <c:invertIfNegative val="0"/>
          <c:cat>
            <c:strRef>
              <c:f>Biodiesel!$B$15:$B$25</c:f>
              <c:strCache>
                <c:ptCount val="11"/>
                <c:pt idx="0">
                  <c:v>Soybean irrigation for biodiesel</c:v>
                </c:pt>
                <c:pt idx="1">
                  <c:v>Corn irrigation for biodiesel</c:v>
                </c:pt>
                <c:pt idx="4">
                  <c:v>Crop-to-oil conversions</c:v>
                </c:pt>
                <c:pt idx="7">
                  <c:v>Oil-to-biodiesel refining</c:v>
                </c:pt>
                <c:pt idx="10">
                  <c:v>Biodiesel combustion</c:v>
                </c:pt>
              </c:strCache>
            </c:strRef>
          </c:cat>
          <c:val>
            <c:numRef>
              <c:f>Biodiesel!$C$15:$C$25</c:f>
              <c:numCache>
                <c:formatCode>0.0E+00</c:formatCode>
                <c:ptCount val="11"/>
                <c:pt idx="0">
                  <c:v>332717106.3245188</c:v>
                </c:pt>
                <c:pt idx="1">
                  <c:v>160083697.25318265</c:v>
                </c:pt>
                <c:pt idx="4">
                  <c:v>583570.75952631584</c:v>
                </c:pt>
                <c:pt idx="7">
                  <c:v>1491489.3940999999</c:v>
                </c:pt>
                <c:pt idx="10">
                  <c:v>-6434118.3908696994</c:v>
                </c:pt>
              </c:numCache>
            </c:numRef>
          </c:val>
          <c:extLst>
            <c:ext xmlns:c16="http://schemas.microsoft.com/office/drawing/2014/chart" uri="{C3380CC4-5D6E-409C-BE32-E72D297353CC}">
              <c16:uniqueId val="{00000000-01A2-2E44-85C4-7D6CC99F0A1F}"/>
            </c:ext>
          </c:extLst>
        </c:ser>
        <c:dLbls>
          <c:showLegendKey val="0"/>
          <c:showVal val="0"/>
          <c:showCatName val="0"/>
          <c:showSerName val="0"/>
          <c:showPercent val="0"/>
          <c:showBubbleSize val="0"/>
        </c:dLbls>
        <c:gapWidth val="0"/>
        <c:axId val="-31832896"/>
        <c:axId val="-31830432"/>
      </c:barChart>
      <c:catAx>
        <c:axId val="-3183289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830432"/>
        <c:crosses val="autoZero"/>
        <c:auto val="1"/>
        <c:lblAlgn val="ctr"/>
        <c:lblOffset val="0"/>
        <c:noMultiLvlLbl val="0"/>
      </c:catAx>
      <c:valAx>
        <c:axId val="-31830432"/>
        <c:scaling>
          <c:orientation val="minMax"/>
          <c:max val="5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832896"/>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Biodiesel!$B$15:$B$25</c:f>
              <c:strCache>
                <c:ptCount val="11"/>
                <c:pt idx="0">
                  <c:v>Soybean irrigation for biodiesel</c:v>
                </c:pt>
                <c:pt idx="1">
                  <c:v>Corn irrigation for biodiesel</c:v>
                </c:pt>
                <c:pt idx="4">
                  <c:v>Crop-to-oil conversions</c:v>
                </c:pt>
                <c:pt idx="7">
                  <c:v>Oil-to-biodiesel refining</c:v>
                </c:pt>
                <c:pt idx="10">
                  <c:v>Biodiesel combustion</c:v>
                </c:pt>
              </c:strCache>
            </c:strRef>
          </c:cat>
          <c:val>
            <c:numRef>
              <c:f>Biodiesel!$O$15:$O$25</c:f>
              <c:numCache>
                <c:formatCode>0.0E+00</c:formatCode>
                <c:ptCount val="11"/>
                <c:pt idx="0">
                  <c:v>420854088.13233835</c:v>
                </c:pt>
                <c:pt idx="1">
                  <c:v>198529045.39085031</c:v>
                </c:pt>
                <c:pt idx="4">
                  <c:v>648411.95502923976</c:v>
                </c:pt>
                <c:pt idx="7">
                  <c:v>1657210.4378888886</c:v>
                </c:pt>
                <c:pt idx="10">
                  <c:v>-6434118.3908696994</c:v>
                </c:pt>
              </c:numCache>
            </c:numRef>
          </c:val>
          <c:extLst>
            <c:ext xmlns:c16="http://schemas.microsoft.com/office/drawing/2014/chart" uri="{C3380CC4-5D6E-409C-BE32-E72D297353CC}">
              <c16:uniqueId val="{00000000-32BC-B441-9137-4A2C081A25D4}"/>
            </c:ext>
          </c:extLst>
        </c:ser>
        <c:dLbls>
          <c:showLegendKey val="0"/>
          <c:showVal val="0"/>
          <c:showCatName val="0"/>
          <c:showSerName val="0"/>
          <c:showPercent val="0"/>
          <c:showBubbleSize val="0"/>
        </c:dLbls>
        <c:gapWidth val="0"/>
        <c:axId val="67959488"/>
        <c:axId val="67961808"/>
      </c:barChart>
      <c:catAx>
        <c:axId val="6795948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961808"/>
        <c:crosses val="autoZero"/>
        <c:auto val="1"/>
        <c:lblAlgn val="ctr"/>
        <c:lblOffset val="0"/>
        <c:noMultiLvlLbl val="0"/>
      </c:catAx>
      <c:valAx>
        <c:axId val="67961808"/>
        <c:scaling>
          <c:orientation val="minMax"/>
          <c:max val="5000000000"/>
          <c:min val="-2000000000"/>
        </c:scaling>
        <c:delete val="0"/>
        <c:axPos val="b"/>
        <c:numFmt formatCode="0.0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7959488"/>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Biodiesel!$K$13</c:f>
              <c:numCache>
                <c:formatCode>0%</c:formatCode>
                <c:ptCount val="1"/>
                <c:pt idx="0">
                  <c:v>0.92970447594955408</c:v>
                </c:pt>
              </c:numCache>
            </c:numRef>
          </c:val>
          <c:extLst>
            <c:ext xmlns:c16="http://schemas.microsoft.com/office/drawing/2014/chart" uri="{C3380CC4-5D6E-409C-BE32-E72D297353CC}">
              <c16:uniqueId val="{00000000-0D25-8345-8A46-421BB967E10C}"/>
            </c:ext>
          </c:extLst>
        </c:ser>
        <c:ser>
          <c:idx val="0"/>
          <c:order val="1"/>
          <c:tx>
            <c:v>Surface</c:v>
          </c:tx>
          <c:spPr>
            <a:solidFill>
              <a:srgbClr val="335C89"/>
            </a:solidFill>
            <a:ln w="19050">
              <a:solidFill>
                <a:schemeClr val="lt1"/>
              </a:solidFill>
            </a:ln>
            <a:effectLst/>
          </c:spPr>
          <c:invertIfNegative val="0"/>
          <c:val>
            <c:numRef>
              <c:f>Biodiesel!$L$13</c:f>
              <c:numCache>
                <c:formatCode>0%</c:formatCode>
                <c:ptCount val="1"/>
                <c:pt idx="0">
                  <c:v>7.0295524050445909E-2</c:v>
                </c:pt>
              </c:numCache>
            </c:numRef>
          </c:val>
          <c:extLst>
            <c:ext xmlns:c16="http://schemas.microsoft.com/office/drawing/2014/chart" uri="{C3380CC4-5D6E-409C-BE32-E72D297353CC}">
              <c16:uniqueId val="{00000001-0D25-8345-8A46-421BB967E10C}"/>
            </c:ext>
          </c:extLst>
        </c:ser>
        <c:ser>
          <c:idx val="2"/>
          <c:order val="2"/>
          <c:tx>
            <c:v>Reuse</c:v>
          </c:tx>
          <c:spPr>
            <a:solidFill>
              <a:srgbClr val="19416C"/>
            </a:solidFill>
            <a:ln w="19050">
              <a:solidFill>
                <a:schemeClr val="lt1"/>
              </a:solidFill>
            </a:ln>
            <a:effectLst/>
          </c:spPr>
          <c:invertIfNegative val="0"/>
          <c:val>
            <c:numRef>
              <c:f>Biodiesel!$M$13</c:f>
              <c:numCache>
                <c:formatCode>0%</c:formatCode>
                <c:ptCount val="1"/>
                <c:pt idx="0">
                  <c:v>0</c:v>
                </c:pt>
              </c:numCache>
            </c:numRef>
          </c:val>
          <c:extLst>
            <c:ext xmlns:c16="http://schemas.microsoft.com/office/drawing/2014/chart" uri="{C3380CC4-5D6E-409C-BE32-E72D297353CC}">
              <c16:uniqueId val="{00000002-0D25-8345-8A46-421BB967E10C}"/>
            </c:ext>
          </c:extLst>
        </c:ser>
        <c:dLbls>
          <c:showLegendKey val="0"/>
          <c:showVal val="0"/>
          <c:showCatName val="0"/>
          <c:showSerName val="0"/>
          <c:showPercent val="0"/>
          <c:showBubbleSize val="0"/>
        </c:dLbls>
        <c:gapWidth val="0"/>
        <c:overlap val="100"/>
        <c:axId val="-30376256"/>
        <c:axId val="-30360976"/>
      </c:barChart>
      <c:valAx>
        <c:axId val="-30360976"/>
        <c:scaling>
          <c:orientation val="minMax"/>
          <c:min val="0"/>
        </c:scaling>
        <c:delete val="1"/>
        <c:axPos val="b"/>
        <c:numFmt formatCode="0%" sourceLinked="1"/>
        <c:majorTickMark val="out"/>
        <c:minorTickMark val="none"/>
        <c:tickLblPos val="nextTo"/>
        <c:crossAx val="-30376256"/>
        <c:crosses val="autoZero"/>
        <c:crossBetween val="between"/>
      </c:valAx>
      <c:catAx>
        <c:axId val="-30376256"/>
        <c:scaling>
          <c:orientation val="minMax"/>
        </c:scaling>
        <c:delete val="1"/>
        <c:axPos val="l"/>
        <c:majorTickMark val="out"/>
        <c:minorTickMark val="none"/>
        <c:tickLblPos val="nextTo"/>
        <c:crossAx val="-3036097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77AF-2046-B6BC-C53D0B513C8D}"/>
              </c:ext>
            </c:extLst>
          </c:dPt>
          <c:val>
            <c:numRef>
              <c:f>Biodiesel!$F$13</c:f>
              <c:numCache>
                <c:formatCode>0%</c:formatCode>
                <c:ptCount val="1"/>
                <c:pt idx="0">
                  <c:v>1</c:v>
                </c:pt>
              </c:numCache>
            </c:numRef>
          </c:val>
          <c:extLst>
            <c:ext xmlns:c16="http://schemas.microsoft.com/office/drawing/2014/chart" uri="{C3380CC4-5D6E-409C-BE32-E72D297353CC}">
              <c16:uniqueId val="{00000002-77AF-2046-B6BC-C53D0B513C8D}"/>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77AF-2046-B6BC-C53D0B513C8D}"/>
              </c:ext>
            </c:extLst>
          </c:dPt>
          <c:val>
            <c:numRef>
              <c:f>Biodiesel!$G$13</c:f>
              <c:numCache>
                <c:formatCode>0%</c:formatCode>
                <c:ptCount val="1"/>
                <c:pt idx="0">
                  <c:v>0</c:v>
                </c:pt>
              </c:numCache>
            </c:numRef>
          </c:val>
          <c:extLst>
            <c:ext xmlns:c16="http://schemas.microsoft.com/office/drawing/2014/chart" uri="{C3380CC4-5D6E-409C-BE32-E72D297353CC}">
              <c16:uniqueId val="{00000005-77AF-2046-B6BC-C53D0B513C8D}"/>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77AF-2046-B6BC-C53D0B513C8D}"/>
              </c:ext>
            </c:extLst>
          </c:dPt>
          <c:val>
            <c:numRef>
              <c:f>Biodiesel!$H$13</c:f>
              <c:numCache>
                <c:formatCode>0%</c:formatCode>
                <c:ptCount val="1"/>
                <c:pt idx="0">
                  <c:v>0</c:v>
                </c:pt>
              </c:numCache>
            </c:numRef>
          </c:val>
          <c:extLst>
            <c:ext xmlns:c16="http://schemas.microsoft.com/office/drawing/2014/chart" uri="{C3380CC4-5D6E-409C-BE32-E72D297353CC}">
              <c16:uniqueId val="{00000008-77AF-2046-B6BC-C53D0B513C8D}"/>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77AF-2046-B6BC-C53D0B513C8D}"/>
              </c:ext>
            </c:extLst>
          </c:dPt>
          <c:val>
            <c:numRef>
              <c:f>Biodiesel!$I$13</c:f>
              <c:numCache>
                <c:formatCode>0%</c:formatCode>
                <c:ptCount val="1"/>
                <c:pt idx="0">
                  <c:v>0</c:v>
                </c:pt>
              </c:numCache>
            </c:numRef>
          </c:val>
          <c:extLst>
            <c:ext xmlns:c16="http://schemas.microsoft.com/office/drawing/2014/chart" uri="{C3380CC4-5D6E-409C-BE32-E72D297353CC}">
              <c16:uniqueId val="{0000000B-77AF-2046-B6BC-C53D0B513C8D}"/>
            </c:ext>
          </c:extLst>
        </c:ser>
        <c:dLbls>
          <c:showLegendKey val="0"/>
          <c:showVal val="0"/>
          <c:showCatName val="0"/>
          <c:showSerName val="0"/>
          <c:showPercent val="0"/>
          <c:showBubbleSize val="0"/>
        </c:dLbls>
        <c:gapWidth val="0"/>
        <c:overlap val="100"/>
        <c:axId val="-69303120"/>
        <c:axId val="-69310480"/>
      </c:barChart>
      <c:valAx>
        <c:axId val="-69310480"/>
        <c:scaling>
          <c:orientation val="minMax"/>
        </c:scaling>
        <c:delete val="1"/>
        <c:axPos val="b"/>
        <c:numFmt formatCode="0%" sourceLinked="0"/>
        <c:majorTickMark val="out"/>
        <c:minorTickMark val="none"/>
        <c:tickLblPos val="nextTo"/>
        <c:crossAx val="-69303120"/>
        <c:crosses val="autoZero"/>
        <c:crossBetween val="between"/>
      </c:valAx>
      <c:catAx>
        <c:axId val="-69303120"/>
        <c:scaling>
          <c:orientation val="minMax"/>
        </c:scaling>
        <c:delete val="1"/>
        <c:axPos val="l"/>
        <c:majorTickMark val="out"/>
        <c:minorTickMark val="none"/>
        <c:tickLblPos val="nextTo"/>
        <c:crossAx val="-6931048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Biodiesel!$W$13</c:f>
              <c:numCache>
                <c:formatCode>0%</c:formatCode>
                <c:ptCount val="1"/>
                <c:pt idx="0">
                  <c:v>0.9295801497213011</c:v>
                </c:pt>
              </c:numCache>
            </c:numRef>
          </c:val>
          <c:extLst>
            <c:ext xmlns:c16="http://schemas.microsoft.com/office/drawing/2014/chart" uri="{C3380CC4-5D6E-409C-BE32-E72D297353CC}">
              <c16:uniqueId val="{00000000-A71D-2741-8B85-8F607CCE5158}"/>
            </c:ext>
          </c:extLst>
        </c:ser>
        <c:ser>
          <c:idx val="0"/>
          <c:order val="1"/>
          <c:tx>
            <c:v>Surface</c:v>
          </c:tx>
          <c:spPr>
            <a:solidFill>
              <a:srgbClr val="335C89"/>
            </a:solidFill>
            <a:ln w="19050">
              <a:solidFill>
                <a:schemeClr val="lt1"/>
              </a:solidFill>
            </a:ln>
            <a:effectLst/>
          </c:spPr>
          <c:invertIfNegative val="0"/>
          <c:val>
            <c:numRef>
              <c:f>Biodiesel!$X$13</c:f>
              <c:numCache>
                <c:formatCode>0%</c:formatCode>
                <c:ptCount val="1"/>
                <c:pt idx="0">
                  <c:v>7.041985027869925E-2</c:v>
                </c:pt>
              </c:numCache>
            </c:numRef>
          </c:val>
          <c:extLst>
            <c:ext xmlns:c16="http://schemas.microsoft.com/office/drawing/2014/chart" uri="{C3380CC4-5D6E-409C-BE32-E72D297353CC}">
              <c16:uniqueId val="{00000001-A71D-2741-8B85-8F607CCE5158}"/>
            </c:ext>
          </c:extLst>
        </c:ser>
        <c:ser>
          <c:idx val="2"/>
          <c:order val="2"/>
          <c:tx>
            <c:v>Reuse</c:v>
          </c:tx>
          <c:spPr>
            <a:solidFill>
              <a:srgbClr val="19416C"/>
            </a:solidFill>
            <a:ln w="19050">
              <a:solidFill>
                <a:schemeClr val="lt1"/>
              </a:solidFill>
            </a:ln>
            <a:effectLst/>
          </c:spPr>
          <c:invertIfNegative val="0"/>
          <c:val>
            <c:numRef>
              <c:f>Biodiesel!$Y$13</c:f>
              <c:numCache>
                <c:formatCode>0%</c:formatCode>
                <c:ptCount val="1"/>
                <c:pt idx="0">
                  <c:v>0</c:v>
                </c:pt>
              </c:numCache>
            </c:numRef>
          </c:val>
          <c:extLst>
            <c:ext xmlns:c16="http://schemas.microsoft.com/office/drawing/2014/chart" uri="{C3380CC4-5D6E-409C-BE32-E72D297353CC}">
              <c16:uniqueId val="{00000002-A71D-2741-8B85-8F607CCE5158}"/>
            </c:ext>
          </c:extLst>
        </c:ser>
        <c:dLbls>
          <c:showLegendKey val="0"/>
          <c:showVal val="0"/>
          <c:showCatName val="0"/>
          <c:showSerName val="0"/>
          <c:showPercent val="0"/>
          <c:showBubbleSize val="0"/>
        </c:dLbls>
        <c:gapWidth val="0"/>
        <c:overlap val="100"/>
        <c:axId val="39705248"/>
        <c:axId val="39703200"/>
      </c:barChart>
      <c:valAx>
        <c:axId val="39703200"/>
        <c:scaling>
          <c:orientation val="minMax"/>
          <c:min val="0"/>
        </c:scaling>
        <c:delete val="1"/>
        <c:axPos val="b"/>
        <c:numFmt formatCode="0%" sourceLinked="0"/>
        <c:majorTickMark val="out"/>
        <c:minorTickMark val="none"/>
        <c:tickLblPos val="nextTo"/>
        <c:crossAx val="39705248"/>
        <c:crosses val="autoZero"/>
        <c:crossBetween val="between"/>
      </c:valAx>
      <c:catAx>
        <c:axId val="39705248"/>
        <c:scaling>
          <c:orientation val="minMax"/>
        </c:scaling>
        <c:delete val="1"/>
        <c:axPos val="l"/>
        <c:majorTickMark val="out"/>
        <c:minorTickMark val="none"/>
        <c:tickLblPos val="nextTo"/>
        <c:crossAx val="397032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Biodiesel!$R$13</c:f>
              <c:numCache>
                <c:formatCode>0%</c:formatCode>
                <c:ptCount val="1"/>
                <c:pt idx="0">
                  <c:v>1</c:v>
                </c:pt>
              </c:numCache>
            </c:numRef>
          </c:val>
          <c:extLst>
            <c:ext xmlns:c16="http://schemas.microsoft.com/office/drawing/2014/chart" uri="{C3380CC4-5D6E-409C-BE32-E72D297353CC}">
              <c16:uniqueId val="{00000000-03FC-E344-9AC4-046AB9155B10}"/>
            </c:ext>
          </c:extLst>
        </c:ser>
        <c:ser>
          <c:idx val="1"/>
          <c:order val="1"/>
          <c:tx>
            <c:v>Brackish</c:v>
          </c:tx>
          <c:spPr>
            <a:solidFill>
              <a:srgbClr val="98D862"/>
            </a:solidFill>
            <a:ln w="19050">
              <a:solidFill>
                <a:schemeClr val="lt1"/>
              </a:solidFill>
            </a:ln>
            <a:effectLst/>
          </c:spPr>
          <c:invertIfNegative val="0"/>
          <c:val>
            <c:numRef>
              <c:f>Biodiesel!$S$13</c:f>
              <c:numCache>
                <c:formatCode>0%</c:formatCode>
                <c:ptCount val="1"/>
                <c:pt idx="0">
                  <c:v>0</c:v>
                </c:pt>
              </c:numCache>
            </c:numRef>
          </c:val>
          <c:extLst>
            <c:ext xmlns:c16="http://schemas.microsoft.com/office/drawing/2014/chart" uri="{C3380CC4-5D6E-409C-BE32-E72D297353CC}">
              <c16:uniqueId val="{00000001-03FC-E344-9AC4-046AB9155B10}"/>
            </c:ext>
          </c:extLst>
        </c:ser>
        <c:ser>
          <c:idx val="2"/>
          <c:order val="2"/>
          <c:tx>
            <c:v>Saline</c:v>
          </c:tx>
          <c:spPr>
            <a:solidFill>
              <a:srgbClr val="6EB739"/>
            </a:solidFill>
            <a:ln w="19050">
              <a:solidFill>
                <a:schemeClr val="lt1"/>
              </a:solidFill>
            </a:ln>
            <a:effectLst/>
          </c:spPr>
          <c:invertIfNegative val="0"/>
          <c:val>
            <c:numRef>
              <c:f>Biodiesel!$T$13</c:f>
              <c:numCache>
                <c:formatCode>0%</c:formatCode>
                <c:ptCount val="1"/>
                <c:pt idx="0">
                  <c:v>0</c:v>
                </c:pt>
              </c:numCache>
            </c:numRef>
          </c:val>
          <c:extLst>
            <c:ext xmlns:c16="http://schemas.microsoft.com/office/drawing/2014/chart" uri="{C3380CC4-5D6E-409C-BE32-E72D297353CC}">
              <c16:uniqueId val="{00000002-03FC-E344-9AC4-046AB9155B10}"/>
            </c:ext>
          </c:extLst>
        </c:ser>
        <c:ser>
          <c:idx val="3"/>
          <c:order val="3"/>
          <c:tx>
            <c:v>Not RO</c:v>
          </c:tx>
          <c:spPr>
            <a:solidFill>
              <a:srgbClr val="5A9D2C"/>
            </a:solidFill>
            <a:ln w="19050">
              <a:solidFill>
                <a:schemeClr val="lt1"/>
              </a:solidFill>
            </a:ln>
            <a:effectLst/>
          </c:spPr>
          <c:invertIfNegative val="0"/>
          <c:val>
            <c:numRef>
              <c:f>Biodiesel!$U$13</c:f>
              <c:numCache>
                <c:formatCode>0%</c:formatCode>
                <c:ptCount val="1"/>
                <c:pt idx="0">
                  <c:v>0</c:v>
                </c:pt>
              </c:numCache>
            </c:numRef>
          </c:val>
          <c:extLst>
            <c:ext xmlns:c16="http://schemas.microsoft.com/office/drawing/2014/chart" uri="{C3380CC4-5D6E-409C-BE32-E72D297353CC}">
              <c16:uniqueId val="{00000003-03FC-E344-9AC4-046AB9155B10}"/>
            </c:ext>
          </c:extLst>
        </c:ser>
        <c:dLbls>
          <c:showLegendKey val="0"/>
          <c:showVal val="0"/>
          <c:showCatName val="0"/>
          <c:showSerName val="0"/>
          <c:showPercent val="0"/>
          <c:showBubbleSize val="0"/>
        </c:dLbls>
        <c:gapWidth val="0"/>
        <c:overlap val="100"/>
        <c:axId val="39146608"/>
        <c:axId val="39143776"/>
      </c:barChart>
      <c:valAx>
        <c:axId val="39143776"/>
        <c:scaling>
          <c:orientation val="minMax"/>
        </c:scaling>
        <c:delete val="1"/>
        <c:axPos val="b"/>
        <c:numFmt formatCode="0%" sourceLinked="1"/>
        <c:majorTickMark val="out"/>
        <c:minorTickMark val="none"/>
        <c:tickLblPos val="nextTo"/>
        <c:crossAx val="39146608"/>
        <c:crosses val="autoZero"/>
        <c:crossBetween val="between"/>
      </c:valAx>
      <c:catAx>
        <c:axId val="39146608"/>
        <c:scaling>
          <c:orientation val="minMax"/>
        </c:scaling>
        <c:delete val="1"/>
        <c:axPos val="l"/>
        <c:majorTickMark val="out"/>
        <c:minorTickMark val="none"/>
        <c:tickLblPos val="nextTo"/>
        <c:crossAx val="3914377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635743887277199"/>
          <c:y val="6.8733960338291003E-2"/>
          <c:w val="0.52418213841690797"/>
          <c:h val="0.83437518226888296"/>
        </c:manualLayout>
      </c:layout>
      <c:barChart>
        <c:barDir val="bar"/>
        <c:grouping val="clustered"/>
        <c:varyColors val="0"/>
        <c:ser>
          <c:idx val="0"/>
          <c:order val="0"/>
          <c:spPr>
            <a:solidFill>
              <a:schemeClr val="tx1"/>
            </a:solidFill>
            <a:ln>
              <a:noFill/>
            </a:ln>
            <a:effectLst/>
          </c:spPr>
          <c:invertIfNegative val="0"/>
          <c:cat>
            <c:strRef>
              <c:f>Coal!$B$15:$B$31</c:f>
              <c:strCache>
                <c:ptCount val="17"/>
                <c:pt idx="0">
                  <c:v>Dewatering</c:v>
                </c:pt>
                <c:pt idx="1">
                  <c:v>Subsidence-related drainage</c:v>
                </c:pt>
                <c:pt idx="2">
                  <c:v>Stream burial and aquifer removal</c:v>
                </c:pt>
                <c:pt idx="3">
                  <c:v>Revegetation</c:v>
                </c:pt>
                <c:pt idx="6">
                  <c:v>Coal preparation</c:v>
                </c:pt>
                <c:pt idx="9">
                  <c:v>Power plant cooling</c:v>
                </c:pt>
                <c:pt idx="12">
                  <c:v>Ash handling</c:v>
                </c:pt>
                <c:pt idx="13">
                  <c:v>Sulfur scrubbing</c:v>
                </c:pt>
                <c:pt idx="16">
                  <c:v>Combustion</c:v>
                </c:pt>
              </c:strCache>
            </c:strRef>
          </c:cat>
          <c:val>
            <c:numRef>
              <c:f>Coal!$C$15:$C$31</c:f>
              <c:numCache>
                <c:formatCode>0.0E+00</c:formatCode>
                <c:ptCount val="17"/>
                <c:pt idx="0">
                  <c:v>601582805.29384935</c:v>
                </c:pt>
                <c:pt idx="1">
                  <c:v>0</c:v>
                </c:pt>
                <c:pt idx="2">
                  <c:v>0</c:v>
                </c:pt>
                <c:pt idx="3" formatCode="General">
                  <c:v>0</c:v>
                </c:pt>
                <c:pt idx="6">
                  <c:v>59651205.009398118</c:v>
                </c:pt>
                <c:pt idx="9">
                  <c:v>1976480089.0831089</c:v>
                </c:pt>
                <c:pt idx="12">
                  <c:v>65829962.207104415</c:v>
                </c:pt>
                <c:pt idx="13">
                  <c:v>295185341.22550851</c:v>
                </c:pt>
                <c:pt idx="16">
                  <c:v>-443999015.57962787</c:v>
                </c:pt>
              </c:numCache>
            </c:numRef>
          </c:val>
          <c:extLst>
            <c:ext xmlns:c16="http://schemas.microsoft.com/office/drawing/2014/chart" uri="{C3380CC4-5D6E-409C-BE32-E72D297353CC}">
              <c16:uniqueId val="{00000000-0A82-C442-AA14-746630ABDABA}"/>
            </c:ext>
          </c:extLst>
        </c:ser>
        <c:dLbls>
          <c:showLegendKey val="0"/>
          <c:showVal val="0"/>
          <c:showCatName val="0"/>
          <c:showSerName val="0"/>
          <c:showPercent val="0"/>
          <c:showBubbleSize val="0"/>
        </c:dLbls>
        <c:gapWidth val="0"/>
        <c:axId val="69979008"/>
        <c:axId val="69981328"/>
      </c:barChart>
      <c:catAx>
        <c:axId val="699790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981328"/>
        <c:crosses val="autoZero"/>
        <c:auto val="1"/>
        <c:lblAlgn val="ctr"/>
        <c:lblOffset val="0"/>
        <c:noMultiLvlLbl val="0"/>
      </c:catAx>
      <c:valAx>
        <c:axId val="69981328"/>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979008"/>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12950600801103E-2"/>
          <c:y val="3.4013605442176902E-2"/>
          <c:w val="0.93057409879839803"/>
          <c:h val="0.93537414965986398"/>
        </c:manualLayout>
      </c:layout>
      <c:barChart>
        <c:barDir val="bar"/>
        <c:grouping val="stacked"/>
        <c:varyColors val="0"/>
        <c:ser>
          <c:idx val="0"/>
          <c:order val="0"/>
          <c:spPr>
            <a:solidFill>
              <a:schemeClr val="tx1"/>
            </a:solidFill>
            <a:ln>
              <a:noFill/>
            </a:ln>
            <a:effectLst/>
          </c:spPr>
          <c:invertIfNegative val="0"/>
          <c:cat>
            <c:strRef>
              <c:f>'Volume Summary'!$B$29:$B$45</c:f>
              <c:strCache>
                <c:ptCount val="17"/>
                <c:pt idx="0">
                  <c:v>Conventional oil</c:v>
                </c:pt>
                <c:pt idx="1">
                  <c:v>Unconventional oil</c:v>
                </c:pt>
                <c:pt idx="2">
                  <c:v>Ethanol</c:v>
                </c:pt>
                <c:pt idx="3">
                  <c:v>Biodiesel</c:v>
                </c:pt>
                <c:pt idx="4">
                  <c:v>Subbituminous coal</c:v>
                </c:pt>
                <c:pt idx="5">
                  <c:v>Bituminous coal</c:v>
                </c:pt>
                <c:pt idx="6">
                  <c:v>Lignite</c:v>
                </c:pt>
                <c:pt idx="7">
                  <c:v>Conventional natural gas</c:v>
                </c:pt>
                <c:pt idx="8">
                  <c:v>Unconventional natural gas</c:v>
                </c:pt>
                <c:pt idx="9">
                  <c:v>Uranium</c:v>
                </c:pt>
                <c:pt idx="10">
                  <c:v>Hydropower</c:v>
                </c:pt>
                <c:pt idx="11">
                  <c:v>Wind</c:v>
                </c:pt>
                <c:pt idx="12">
                  <c:v>Solid biomass and RDF</c:v>
                </c:pt>
                <c:pt idx="13">
                  <c:v>Biogas</c:v>
                </c:pt>
                <c:pt idx="14">
                  <c:v>Geothermal</c:v>
                </c:pt>
                <c:pt idx="15">
                  <c:v>Solar photovoltaic</c:v>
                </c:pt>
                <c:pt idx="16">
                  <c:v>Solar thermal</c:v>
                </c:pt>
              </c:strCache>
            </c:strRef>
          </c:cat>
          <c:val>
            <c:numRef>
              <c:f>'Volume Summary'!$C$29:$C$45</c:f>
              <c:numCache>
                <c:formatCode>0.0E+00</c:formatCode>
                <c:ptCount val="17"/>
                <c:pt idx="0">
                  <c:v>2853393578.0999999</c:v>
                </c:pt>
                <c:pt idx="1">
                  <c:v>320728847.89999998</c:v>
                </c:pt>
                <c:pt idx="2">
                  <c:v>3682531436.5</c:v>
                </c:pt>
                <c:pt idx="3">
                  <c:v>494875863.69999999</c:v>
                </c:pt>
                <c:pt idx="4">
                  <c:v>1139103192.0999999</c:v>
                </c:pt>
                <c:pt idx="5">
                  <c:v>1700484017.5</c:v>
                </c:pt>
                <c:pt idx="6">
                  <c:v>159142193.09999999</c:v>
                </c:pt>
                <c:pt idx="7">
                  <c:v>696124262</c:v>
                </c:pt>
                <c:pt idx="8">
                  <c:v>980869718</c:v>
                </c:pt>
                <c:pt idx="9">
                  <c:v>1651674465.5999999</c:v>
                </c:pt>
                <c:pt idx="10">
                  <c:v>2346976960</c:v>
                </c:pt>
                <c:pt idx="11">
                  <c:v>1961874</c:v>
                </c:pt>
                <c:pt idx="12">
                  <c:v>180074745.09999999</c:v>
                </c:pt>
                <c:pt idx="13">
                  <c:v>2778556.1</c:v>
                </c:pt>
                <c:pt idx="14">
                  <c:v>168317795.09999999</c:v>
                </c:pt>
                <c:pt idx="15">
                  <c:v>169190.6</c:v>
                </c:pt>
                <c:pt idx="16">
                  <c:v>8230602.7999999998</c:v>
                </c:pt>
              </c:numCache>
            </c:numRef>
          </c:val>
          <c:extLst>
            <c:ext xmlns:c16="http://schemas.microsoft.com/office/drawing/2014/chart" uri="{C3380CC4-5D6E-409C-BE32-E72D297353CC}">
              <c16:uniqueId val="{00000000-CF47-2C42-BB06-C751759BA4CC}"/>
            </c:ext>
          </c:extLst>
        </c:ser>
        <c:ser>
          <c:idx val="1"/>
          <c:order val="1"/>
          <c:spPr>
            <a:solidFill>
              <a:schemeClr val="bg1">
                <a:lumMod val="75000"/>
              </a:schemeClr>
            </a:solidFill>
            <a:ln>
              <a:noFill/>
            </a:ln>
            <a:effectLst/>
          </c:spPr>
          <c:invertIfNegative val="0"/>
          <c:cat>
            <c:strRef>
              <c:f>'Volume Summary'!$B$29:$B$45</c:f>
              <c:strCache>
                <c:ptCount val="17"/>
                <c:pt idx="0">
                  <c:v>Conventional oil</c:v>
                </c:pt>
                <c:pt idx="1">
                  <c:v>Unconventional oil</c:v>
                </c:pt>
                <c:pt idx="2">
                  <c:v>Ethanol</c:v>
                </c:pt>
                <c:pt idx="3">
                  <c:v>Biodiesel</c:v>
                </c:pt>
                <c:pt idx="4">
                  <c:v>Subbituminous coal</c:v>
                </c:pt>
                <c:pt idx="5">
                  <c:v>Bituminous coal</c:v>
                </c:pt>
                <c:pt idx="6">
                  <c:v>Lignite</c:v>
                </c:pt>
                <c:pt idx="7">
                  <c:v>Conventional natural gas</c:v>
                </c:pt>
                <c:pt idx="8">
                  <c:v>Unconventional natural gas</c:v>
                </c:pt>
                <c:pt idx="9">
                  <c:v>Uranium</c:v>
                </c:pt>
                <c:pt idx="10">
                  <c:v>Hydropower</c:v>
                </c:pt>
                <c:pt idx="11">
                  <c:v>Wind</c:v>
                </c:pt>
                <c:pt idx="12">
                  <c:v>Solid biomass and RDF</c:v>
                </c:pt>
                <c:pt idx="13">
                  <c:v>Biogas</c:v>
                </c:pt>
                <c:pt idx="14">
                  <c:v>Geothermal</c:v>
                </c:pt>
                <c:pt idx="15">
                  <c:v>Solar photovoltaic</c:v>
                </c:pt>
                <c:pt idx="16">
                  <c:v>Solar thermal</c:v>
                </c:pt>
              </c:strCache>
            </c:strRef>
          </c:cat>
          <c:val>
            <c:numRef>
              <c:f>'Volume Summary'!$E$29:$E$45</c:f>
              <c:numCache>
                <c:formatCode>0.0E+00</c:formatCode>
                <c:ptCount val="17"/>
                <c:pt idx="0">
                  <c:v>4225138507.9000001</c:v>
                </c:pt>
                <c:pt idx="1">
                  <c:v>738952185.10000002</c:v>
                </c:pt>
                <c:pt idx="2">
                  <c:v>864657985.5</c:v>
                </c:pt>
                <c:pt idx="3">
                  <c:v>126812892.30000001</c:v>
                </c:pt>
                <c:pt idx="4">
                  <c:v>52455013477.900002</c:v>
                </c:pt>
                <c:pt idx="5">
                  <c:v>48307579308.5</c:v>
                </c:pt>
                <c:pt idx="6">
                  <c:v>6328487140.8999996</c:v>
                </c:pt>
                <c:pt idx="7">
                  <c:v>8680488599</c:v>
                </c:pt>
                <c:pt idx="8">
                  <c:v>8227441625</c:v>
                </c:pt>
                <c:pt idx="9">
                  <c:v>68960172675.399994</c:v>
                </c:pt>
                <c:pt idx="10">
                  <c:v>0</c:v>
                </c:pt>
                <c:pt idx="11">
                  <c:v>17656866</c:v>
                </c:pt>
                <c:pt idx="12">
                  <c:v>4184726152.9000001</c:v>
                </c:pt>
                <c:pt idx="13">
                  <c:v>100742578.90000001</c:v>
                </c:pt>
                <c:pt idx="14">
                  <c:v>187533.90000000596</c:v>
                </c:pt>
                <c:pt idx="15">
                  <c:v>0</c:v>
                </c:pt>
                <c:pt idx="16">
                  <c:v>5509815.2000000002</c:v>
                </c:pt>
              </c:numCache>
            </c:numRef>
          </c:val>
          <c:extLst>
            <c:ext xmlns:c16="http://schemas.microsoft.com/office/drawing/2014/chart" uri="{C3380CC4-5D6E-409C-BE32-E72D297353CC}">
              <c16:uniqueId val="{00000001-CF47-2C42-BB06-C751759BA4CC}"/>
            </c:ext>
          </c:extLst>
        </c:ser>
        <c:dLbls>
          <c:showLegendKey val="0"/>
          <c:showVal val="0"/>
          <c:showCatName val="0"/>
          <c:showSerName val="0"/>
          <c:showPercent val="0"/>
          <c:showBubbleSize val="0"/>
        </c:dLbls>
        <c:gapWidth val="9"/>
        <c:overlap val="100"/>
        <c:axId val="-30058880"/>
        <c:axId val="-30056560"/>
      </c:barChart>
      <c:catAx>
        <c:axId val="-30058880"/>
        <c:scaling>
          <c:orientation val="maxMin"/>
        </c:scaling>
        <c:delete val="1"/>
        <c:axPos val="l"/>
        <c:numFmt formatCode="General" sourceLinked="1"/>
        <c:majorTickMark val="out"/>
        <c:minorTickMark val="none"/>
        <c:tickLblPos val="nextTo"/>
        <c:crossAx val="-30056560"/>
        <c:crosses val="autoZero"/>
        <c:auto val="1"/>
        <c:lblAlgn val="ctr"/>
        <c:lblOffset val="100"/>
        <c:noMultiLvlLbl val="0"/>
      </c:catAx>
      <c:valAx>
        <c:axId val="-30056560"/>
        <c:scaling>
          <c:orientation val="minMax"/>
          <c:max val="250000000000"/>
        </c:scaling>
        <c:delete val="1"/>
        <c:axPos val="t"/>
        <c:numFmt formatCode="0.0E+00" sourceLinked="1"/>
        <c:majorTickMark val="out"/>
        <c:minorTickMark val="none"/>
        <c:tickLblPos val="nextTo"/>
        <c:crossAx val="-3005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Coal!$B$15:$B$31</c:f>
              <c:strCache>
                <c:ptCount val="17"/>
                <c:pt idx="0">
                  <c:v>Dewatering</c:v>
                </c:pt>
                <c:pt idx="1">
                  <c:v>Subsidence-related drainage</c:v>
                </c:pt>
                <c:pt idx="2">
                  <c:v>Stream burial and aquifer removal</c:v>
                </c:pt>
                <c:pt idx="3">
                  <c:v>Revegetation</c:v>
                </c:pt>
                <c:pt idx="6">
                  <c:v>Coal preparation</c:v>
                </c:pt>
                <c:pt idx="9">
                  <c:v>Power plant cooling</c:v>
                </c:pt>
                <c:pt idx="12">
                  <c:v>Ash handling</c:v>
                </c:pt>
                <c:pt idx="13">
                  <c:v>Sulfur scrubbing</c:v>
                </c:pt>
                <c:pt idx="16">
                  <c:v>Combustion</c:v>
                </c:pt>
              </c:strCache>
            </c:strRef>
          </c:cat>
          <c:val>
            <c:numRef>
              <c:f>Coal!$O$15:$O$31</c:f>
              <c:numCache>
                <c:formatCode>General</c:formatCode>
                <c:ptCount val="17"/>
                <c:pt idx="0" formatCode="0.0E+00">
                  <c:v>601580814.45030618</c:v>
                </c:pt>
                <c:pt idx="3">
                  <c:v>0</c:v>
                </c:pt>
                <c:pt idx="6" formatCode="0.0E+00">
                  <c:v>745640062.61747646</c:v>
                </c:pt>
                <c:pt idx="9" formatCode="0.0E+00">
                  <c:v>108676758491.20822</c:v>
                </c:pt>
                <c:pt idx="12" formatCode="0.0E+00">
                  <c:v>65829962.207104415</c:v>
                </c:pt>
                <c:pt idx="13">
                  <c:v>0</c:v>
                </c:pt>
                <c:pt idx="16" formatCode="0.0E+00">
                  <c:v>-443999015.57962787</c:v>
                </c:pt>
              </c:numCache>
            </c:numRef>
          </c:val>
          <c:extLst>
            <c:ext xmlns:c16="http://schemas.microsoft.com/office/drawing/2014/chart" uri="{C3380CC4-5D6E-409C-BE32-E72D297353CC}">
              <c16:uniqueId val="{00000000-2902-FF44-8316-6F38841B6479}"/>
            </c:ext>
          </c:extLst>
        </c:ser>
        <c:dLbls>
          <c:showLegendKey val="0"/>
          <c:showVal val="0"/>
          <c:showCatName val="0"/>
          <c:showSerName val="0"/>
          <c:showPercent val="0"/>
          <c:showBubbleSize val="0"/>
        </c:dLbls>
        <c:gapWidth val="0"/>
        <c:axId val="39178144"/>
        <c:axId val="39180464"/>
      </c:barChart>
      <c:catAx>
        <c:axId val="391781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9180464"/>
        <c:crossesAt val="0"/>
        <c:auto val="1"/>
        <c:lblAlgn val="ctr"/>
        <c:lblOffset val="0"/>
        <c:noMultiLvlLbl val="0"/>
      </c:catAx>
      <c:valAx>
        <c:axId val="39180464"/>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9178144"/>
        <c:crosses val="max"/>
        <c:crossBetween val="between"/>
        <c:majorUnit val="50000000000"/>
        <c:minorUnit val="1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Coal!$K$13</c:f>
              <c:numCache>
                <c:formatCode>0%</c:formatCode>
                <c:ptCount val="1"/>
                <c:pt idx="0">
                  <c:v>0.32669205715054617</c:v>
                </c:pt>
              </c:numCache>
            </c:numRef>
          </c:val>
          <c:extLst>
            <c:ext xmlns:c16="http://schemas.microsoft.com/office/drawing/2014/chart" uri="{C3380CC4-5D6E-409C-BE32-E72D297353CC}">
              <c16:uniqueId val="{00000000-6D83-0E4C-9B80-261BF2EF3FA4}"/>
            </c:ext>
          </c:extLst>
        </c:ser>
        <c:ser>
          <c:idx val="0"/>
          <c:order val="1"/>
          <c:tx>
            <c:v>Surface</c:v>
          </c:tx>
          <c:spPr>
            <a:solidFill>
              <a:srgbClr val="335C89"/>
            </a:solidFill>
            <a:ln w="19050">
              <a:solidFill>
                <a:schemeClr val="lt1"/>
              </a:solidFill>
            </a:ln>
            <a:effectLst/>
          </c:spPr>
          <c:invertIfNegative val="0"/>
          <c:val>
            <c:numRef>
              <c:f>Coal!$L$13</c:f>
              <c:numCache>
                <c:formatCode>0%</c:formatCode>
                <c:ptCount val="1"/>
                <c:pt idx="0">
                  <c:v>0.66026950501384907</c:v>
                </c:pt>
              </c:numCache>
            </c:numRef>
          </c:val>
          <c:extLst>
            <c:ext xmlns:c16="http://schemas.microsoft.com/office/drawing/2014/chart" uri="{C3380CC4-5D6E-409C-BE32-E72D297353CC}">
              <c16:uniqueId val="{00000001-6D83-0E4C-9B80-261BF2EF3FA4}"/>
            </c:ext>
          </c:extLst>
        </c:ser>
        <c:ser>
          <c:idx val="2"/>
          <c:order val="2"/>
          <c:tx>
            <c:v>Reuse</c:v>
          </c:tx>
          <c:spPr>
            <a:solidFill>
              <a:srgbClr val="19416C"/>
            </a:solidFill>
            <a:ln w="19050">
              <a:solidFill>
                <a:schemeClr val="lt1"/>
              </a:solidFill>
            </a:ln>
            <a:effectLst/>
          </c:spPr>
          <c:invertIfNegative val="0"/>
          <c:val>
            <c:numRef>
              <c:f>Coal!$M$13</c:f>
              <c:numCache>
                <c:formatCode>0%</c:formatCode>
                <c:ptCount val="1"/>
                <c:pt idx="0">
                  <c:v>1.3038437835604719E-2</c:v>
                </c:pt>
              </c:numCache>
            </c:numRef>
          </c:val>
          <c:extLst>
            <c:ext xmlns:c16="http://schemas.microsoft.com/office/drawing/2014/chart" uri="{C3380CC4-5D6E-409C-BE32-E72D297353CC}">
              <c16:uniqueId val="{00000002-6D83-0E4C-9B80-261BF2EF3FA4}"/>
            </c:ext>
          </c:extLst>
        </c:ser>
        <c:dLbls>
          <c:showLegendKey val="0"/>
          <c:showVal val="0"/>
          <c:showCatName val="0"/>
          <c:showSerName val="0"/>
          <c:showPercent val="0"/>
          <c:showBubbleSize val="0"/>
        </c:dLbls>
        <c:gapWidth val="0"/>
        <c:overlap val="100"/>
        <c:axId val="70013296"/>
        <c:axId val="70010976"/>
      </c:barChart>
      <c:valAx>
        <c:axId val="70010976"/>
        <c:scaling>
          <c:orientation val="minMax"/>
        </c:scaling>
        <c:delete val="1"/>
        <c:axPos val="b"/>
        <c:numFmt formatCode="0%" sourceLinked="1"/>
        <c:majorTickMark val="out"/>
        <c:minorTickMark val="none"/>
        <c:tickLblPos val="nextTo"/>
        <c:crossAx val="70013296"/>
        <c:crosses val="autoZero"/>
        <c:crossBetween val="between"/>
      </c:valAx>
      <c:catAx>
        <c:axId val="70013296"/>
        <c:scaling>
          <c:orientation val="minMax"/>
        </c:scaling>
        <c:delete val="1"/>
        <c:axPos val="l"/>
        <c:majorTickMark val="out"/>
        <c:minorTickMark val="none"/>
        <c:tickLblPos val="nextTo"/>
        <c:crossAx val="7001097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1EF1-EE4C-B5C8-5031C9DA2E13}"/>
              </c:ext>
            </c:extLst>
          </c:dPt>
          <c:val>
            <c:numRef>
              <c:f>Coal!$F$13</c:f>
              <c:numCache>
                <c:formatCode>0%</c:formatCode>
                <c:ptCount val="1"/>
                <c:pt idx="0">
                  <c:v>0.97811595408512408</c:v>
                </c:pt>
              </c:numCache>
            </c:numRef>
          </c:val>
          <c:extLst>
            <c:ext xmlns:c16="http://schemas.microsoft.com/office/drawing/2014/chart" uri="{C3380CC4-5D6E-409C-BE32-E72D297353CC}">
              <c16:uniqueId val="{00000002-1EF1-EE4C-B5C8-5031C9DA2E13}"/>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1EF1-EE4C-B5C8-5031C9DA2E13}"/>
              </c:ext>
            </c:extLst>
          </c:dPt>
          <c:val>
            <c:numRef>
              <c:f>Coal!$G$13</c:f>
              <c:numCache>
                <c:formatCode>0%</c:formatCode>
                <c:ptCount val="1"/>
                <c:pt idx="0">
                  <c:v>1.2821420966146323E-2</c:v>
                </c:pt>
              </c:numCache>
            </c:numRef>
          </c:val>
          <c:extLst>
            <c:ext xmlns:c16="http://schemas.microsoft.com/office/drawing/2014/chart" uri="{C3380CC4-5D6E-409C-BE32-E72D297353CC}">
              <c16:uniqueId val="{00000005-1EF1-EE4C-B5C8-5031C9DA2E13}"/>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1EF1-EE4C-B5C8-5031C9DA2E13}"/>
              </c:ext>
            </c:extLst>
          </c:dPt>
          <c:val>
            <c:numRef>
              <c:f>Coal!$H$13</c:f>
              <c:numCache>
                <c:formatCode>0%</c:formatCode>
                <c:ptCount val="1"/>
                <c:pt idx="0">
                  <c:v>9.0626249487295342E-3</c:v>
                </c:pt>
              </c:numCache>
            </c:numRef>
          </c:val>
          <c:extLst>
            <c:ext xmlns:c16="http://schemas.microsoft.com/office/drawing/2014/chart" uri="{C3380CC4-5D6E-409C-BE32-E72D297353CC}">
              <c16:uniqueId val="{00000008-1EF1-EE4C-B5C8-5031C9DA2E13}"/>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1EF1-EE4C-B5C8-5031C9DA2E13}"/>
              </c:ext>
            </c:extLst>
          </c:dPt>
          <c:val>
            <c:numRef>
              <c:f>Coal!$I$13</c:f>
              <c:numCache>
                <c:formatCode>0%</c:formatCode>
                <c:ptCount val="1"/>
                <c:pt idx="0">
                  <c:v>0</c:v>
                </c:pt>
              </c:numCache>
            </c:numRef>
          </c:val>
          <c:extLst>
            <c:ext xmlns:c16="http://schemas.microsoft.com/office/drawing/2014/chart" uri="{C3380CC4-5D6E-409C-BE32-E72D297353CC}">
              <c16:uniqueId val="{0000000B-1EF1-EE4C-B5C8-5031C9DA2E13}"/>
            </c:ext>
          </c:extLst>
        </c:ser>
        <c:dLbls>
          <c:showLegendKey val="0"/>
          <c:showVal val="0"/>
          <c:showCatName val="0"/>
          <c:showSerName val="0"/>
          <c:showPercent val="0"/>
          <c:showBubbleSize val="0"/>
        </c:dLbls>
        <c:gapWidth val="0"/>
        <c:overlap val="100"/>
        <c:axId val="70039712"/>
        <c:axId val="70036880"/>
      </c:barChart>
      <c:valAx>
        <c:axId val="70036880"/>
        <c:scaling>
          <c:orientation val="minMax"/>
          <c:min val="0"/>
        </c:scaling>
        <c:delete val="1"/>
        <c:axPos val="b"/>
        <c:numFmt formatCode="0%" sourceLinked="0"/>
        <c:majorTickMark val="out"/>
        <c:minorTickMark val="none"/>
        <c:tickLblPos val="nextTo"/>
        <c:crossAx val="70039712"/>
        <c:crosses val="autoZero"/>
        <c:crossBetween val="between"/>
      </c:valAx>
      <c:catAx>
        <c:axId val="70039712"/>
        <c:scaling>
          <c:orientation val="minMax"/>
        </c:scaling>
        <c:delete val="1"/>
        <c:axPos val="l"/>
        <c:majorTickMark val="out"/>
        <c:minorTickMark val="none"/>
        <c:tickLblPos val="nextTo"/>
        <c:crossAx val="7003688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Coal!$W$13</c:f>
              <c:numCache>
                <c:formatCode>0%</c:formatCode>
                <c:ptCount val="1"/>
                <c:pt idx="0">
                  <c:v>1.1099573378521785E-2</c:v>
                </c:pt>
              </c:numCache>
            </c:numRef>
          </c:val>
          <c:extLst>
            <c:ext xmlns:c16="http://schemas.microsoft.com/office/drawing/2014/chart" uri="{C3380CC4-5D6E-409C-BE32-E72D297353CC}">
              <c16:uniqueId val="{00000000-8FA3-2C42-9323-939AED00138C}"/>
            </c:ext>
          </c:extLst>
        </c:ser>
        <c:ser>
          <c:idx val="0"/>
          <c:order val="1"/>
          <c:tx>
            <c:v>Surface</c:v>
          </c:tx>
          <c:spPr>
            <a:solidFill>
              <a:srgbClr val="335C89"/>
            </a:solidFill>
            <a:ln w="19050">
              <a:solidFill>
                <a:schemeClr val="lt1"/>
              </a:solidFill>
            </a:ln>
            <a:effectLst/>
          </c:spPr>
          <c:invertIfNegative val="0"/>
          <c:val>
            <c:numRef>
              <c:f>Coal!$X$13</c:f>
              <c:numCache>
                <c:formatCode>0%</c:formatCode>
                <c:ptCount val="1"/>
                <c:pt idx="0">
                  <c:v>0.98574860550048338</c:v>
                </c:pt>
              </c:numCache>
            </c:numRef>
          </c:val>
          <c:extLst>
            <c:ext xmlns:c16="http://schemas.microsoft.com/office/drawing/2014/chart" uri="{C3380CC4-5D6E-409C-BE32-E72D297353CC}">
              <c16:uniqueId val="{00000001-8FA3-2C42-9323-939AED00138C}"/>
            </c:ext>
          </c:extLst>
        </c:ser>
        <c:ser>
          <c:idx val="2"/>
          <c:order val="2"/>
          <c:tx>
            <c:v>Reuse</c:v>
          </c:tx>
          <c:spPr>
            <a:solidFill>
              <a:srgbClr val="19416C"/>
            </a:solidFill>
            <a:ln w="19050">
              <a:solidFill>
                <a:schemeClr val="lt1"/>
              </a:solidFill>
            </a:ln>
            <a:effectLst/>
          </c:spPr>
          <c:invertIfNegative val="0"/>
          <c:val>
            <c:numRef>
              <c:f>Coal!$Y$13</c:f>
              <c:numCache>
                <c:formatCode>0%</c:formatCode>
                <c:ptCount val="1"/>
                <c:pt idx="0">
                  <c:v>3.1518211209948048E-3</c:v>
                </c:pt>
              </c:numCache>
            </c:numRef>
          </c:val>
          <c:extLst>
            <c:ext xmlns:c16="http://schemas.microsoft.com/office/drawing/2014/chart" uri="{C3380CC4-5D6E-409C-BE32-E72D297353CC}">
              <c16:uniqueId val="{00000002-8FA3-2C42-9323-939AED00138C}"/>
            </c:ext>
          </c:extLst>
        </c:ser>
        <c:dLbls>
          <c:showLegendKey val="0"/>
          <c:showVal val="0"/>
          <c:showCatName val="0"/>
          <c:showSerName val="0"/>
          <c:showPercent val="0"/>
          <c:showBubbleSize val="0"/>
        </c:dLbls>
        <c:gapWidth val="0"/>
        <c:overlap val="100"/>
        <c:axId val="39209904"/>
        <c:axId val="39207584"/>
      </c:barChart>
      <c:valAx>
        <c:axId val="39207584"/>
        <c:scaling>
          <c:orientation val="minMax"/>
          <c:min val="0"/>
        </c:scaling>
        <c:delete val="1"/>
        <c:axPos val="b"/>
        <c:numFmt formatCode="0%" sourceLinked="0"/>
        <c:majorTickMark val="out"/>
        <c:minorTickMark val="none"/>
        <c:tickLblPos val="nextTo"/>
        <c:crossAx val="39209904"/>
        <c:crosses val="autoZero"/>
        <c:crossBetween val="between"/>
      </c:valAx>
      <c:catAx>
        <c:axId val="39209904"/>
        <c:scaling>
          <c:orientation val="minMax"/>
        </c:scaling>
        <c:delete val="1"/>
        <c:axPos val="l"/>
        <c:majorTickMark val="out"/>
        <c:minorTickMark val="none"/>
        <c:tickLblPos val="nextTo"/>
        <c:crossAx val="3920758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Coal!$R$13</c:f>
              <c:numCache>
                <c:formatCode>0%</c:formatCode>
                <c:ptCount val="1"/>
                <c:pt idx="0">
                  <c:v>0.94975650354425312</c:v>
                </c:pt>
              </c:numCache>
            </c:numRef>
          </c:val>
          <c:extLst>
            <c:ext xmlns:c16="http://schemas.microsoft.com/office/drawing/2014/chart" uri="{C3380CC4-5D6E-409C-BE32-E72D297353CC}">
              <c16:uniqueId val="{00000000-200E-BB48-9D11-DAA1587812B5}"/>
            </c:ext>
          </c:extLst>
        </c:ser>
        <c:ser>
          <c:idx val="1"/>
          <c:order val="1"/>
          <c:tx>
            <c:v>Brackish</c:v>
          </c:tx>
          <c:spPr>
            <a:solidFill>
              <a:srgbClr val="98D862"/>
            </a:solidFill>
            <a:ln w="19050">
              <a:solidFill>
                <a:schemeClr val="lt1"/>
              </a:solidFill>
            </a:ln>
            <a:effectLst/>
          </c:spPr>
          <c:invertIfNegative val="0"/>
          <c:val>
            <c:numRef>
              <c:f>Coal!$S$13</c:f>
              <c:numCache>
                <c:formatCode>0%</c:formatCode>
                <c:ptCount val="1"/>
                <c:pt idx="0">
                  <c:v>2.8259031403960657E-2</c:v>
                </c:pt>
              </c:numCache>
            </c:numRef>
          </c:val>
          <c:extLst>
            <c:ext xmlns:c16="http://schemas.microsoft.com/office/drawing/2014/chart" uri="{C3380CC4-5D6E-409C-BE32-E72D297353CC}">
              <c16:uniqueId val="{00000001-200E-BB48-9D11-DAA1587812B5}"/>
            </c:ext>
          </c:extLst>
        </c:ser>
        <c:ser>
          <c:idx val="2"/>
          <c:order val="2"/>
          <c:tx>
            <c:v>Saline</c:v>
          </c:tx>
          <c:spPr>
            <a:solidFill>
              <a:srgbClr val="6EB739"/>
            </a:solidFill>
            <a:ln w="19050">
              <a:solidFill>
                <a:schemeClr val="lt1"/>
              </a:solidFill>
            </a:ln>
            <a:effectLst/>
          </c:spPr>
          <c:invertIfNegative val="0"/>
          <c:val>
            <c:numRef>
              <c:f>Coal!$T$13</c:f>
              <c:numCache>
                <c:formatCode>0%</c:formatCode>
                <c:ptCount val="1"/>
                <c:pt idx="0">
                  <c:v>2.1984465051786327E-2</c:v>
                </c:pt>
              </c:numCache>
            </c:numRef>
          </c:val>
          <c:extLst>
            <c:ext xmlns:c16="http://schemas.microsoft.com/office/drawing/2014/chart" uri="{C3380CC4-5D6E-409C-BE32-E72D297353CC}">
              <c16:uniqueId val="{00000002-200E-BB48-9D11-DAA1587812B5}"/>
            </c:ext>
          </c:extLst>
        </c:ser>
        <c:ser>
          <c:idx val="3"/>
          <c:order val="3"/>
          <c:tx>
            <c:v>Not RO</c:v>
          </c:tx>
          <c:spPr>
            <a:solidFill>
              <a:srgbClr val="5A9D2C"/>
            </a:solidFill>
            <a:ln w="19050">
              <a:solidFill>
                <a:schemeClr val="lt1"/>
              </a:solidFill>
            </a:ln>
            <a:effectLst/>
          </c:spPr>
          <c:invertIfNegative val="0"/>
          <c:val>
            <c:numRef>
              <c:f>Coal!$U$13</c:f>
              <c:numCache>
                <c:formatCode>0%</c:formatCode>
                <c:ptCount val="1"/>
                <c:pt idx="0">
                  <c:v>0</c:v>
                </c:pt>
              </c:numCache>
            </c:numRef>
          </c:val>
          <c:extLst>
            <c:ext xmlns:c16="http://schemas.microsoft.com/office/drawing/2014/chart" uri="{C3380CC4-5D6E-409C-BE32-E72D297353CC}">
              <c16:uniqueId val="{00000003-200E-BB48-9D11-DAA1587812B5}"/>
            </c:ext>
          </c:extLst>
        </c:ser>
        <c:dLbls>
          <c:showLegendKey val="0"/>
          <c:showVal val="0"/>
          <c:showCatName val="0"/>
          <c:showSerName val="0"/>
          <c:showPercent val="0"/>
          <c:showBubbleSize val="0"/>
        </c:dLbls>
        <c:gapWidth val="0"/>
        <c:overlap val="100"/>
        <c:axId val="39240672"/>
        <c:axId val="39237840"/>
      </c:barChart>
      <c:valAx>
        <c:axId val="39237840"/>
        <c:scaling>
          <c:orientation val="minMax"/>
          <c:min val="0"/>
        </c:scaling>
        <c:delete val="1"/>
        <c:axPos val="b"/>
        <c:numFmt formatCode="0%" sourceLinked="0"/>
        <c:majorTickMark val="out"/>
        <c:minorTickMark val="none"/>
        <c:tickLblPos val="nextTo"/>
        <c:crossAx val="39240672"/>
        <c:crosses val="autoZero"/>
        <c:crossBetween val="between"/>
      </c:valAx>
      <c:catAx>
        <c:axId val="39240672"/>
        <c:scaling>
          <c:orientation val="minMax"/>
        </c:scaling>
        <c:delete val="1"/>
        <c:axPos val="l"/>
        <c:majorTickMark val="out"/>
        <c:minorTickMark val="none"/>
        <c:tickLblPos val="nextTo"/>
        <c:crossAx val="3923784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1"/>
          <c:order val="0"/>
          <c:spPr>
            <a:solidFill>
              <a:schemeClr val="tx1"/>
            </a:solidFill>
            <a:ln>
              <a:noFill/>
            </a:ln>
            <a:effectLst/>
          </c:spPr>
          <c:invertIfNegative val="0"/>
          <c:cat>
            <c:strRef>
              <c:f>'Subbituminous Coal'!$B$15:$B$30</c:f>
              <c:strCache>
                <c:ptCount val="16"/>
                <c:pt idx="0">
                  <c:v>Dewatering</c:v>
                </c:pt>
                <c:pt idx="1">
                  <c:v>Subsidence-related drainage</c:v>
                </c:pt>
                <c:pt idx="2">
                  <c:v>Revegetation</c:v>
                </c:pt>
                <c:pt idx="5">
                  <c:v>Coal preparation</c:v>
                </c:pt>
                <c:pt idx="8">
                  <c:v>Power plant cooling</c:v>
                </c:pt>
                <c:pt idx="11">
                  <c:v>Ash handling</c:v>
                </c:pt>
                <c:pt idx="12">
                  <c:v>Sulfur scrubbing</c:v>
                </c:pt>
                <c:pt idx="15">
                  <c:v>Combustion</c:v>
                </c:pt>
              </c:strCache>
            </c:strRef>
          </c:cat>
          <c:val>
            <c:numRef>
              <c:f>'Subbituminous Coal'!$C$15:$C$30</c:f>
              <c:numCache>
                <c:formatCode>0.0E+00</c:formatCode>
                <c:ptCount val="16"/>
                <c:pt idx="0">
                  <c:v>8382176.413415188</c:v>
                </c:pt>
                <c:pt idx="1">
                  <c:v>0</c:v>
                </c:pt>
                <c:pt idx="2" formatCode="0">
                  <c:v>0</c:v>
                </c:pt>
                <c:pt idx="5">
                  <c:v>72634.648413270159</c:v>
                </c:pt>
                <c:pt idx="8">
                  <c:v>1057180086.7892218</c:v>
                </c:pt>
                <c:pt idx="11">
                  <c:v>19791595.225318454</c:v>
                </c:pt>
                <c:pt idx="12">
                  <c:v>53676699.071078151</c:v>
                </c:pt>
                <c:pt idx="15">
                  <c:v>-242765424.04966447</c:v>
                </c:pt>
              </c:numCache>
            </c:numRef>
          </c:val>
          <c:extLst>
            <c:ext xmlns:c16="http://schemas.microsoft.com/office/drawing/2014/chart" uri="{C3380CC4-5D6E-409C-BE32-E72D297353CC}">
              <c16:uniqueId val="{00000000-B4CA-D340-A851-9F43BE2DD0FA}"/>
            </c:ext>
          </c:extLst>
        </c:ser>
        <c:dLbls>
          <c:showLegendKey val="0"/>
          <c:showVal val="0"/>
          <c:showCatName val="0"/>
          <c:showSerName val="0"/>
          <c:showPercent val="0"/>
          <c:showBubbleSize val="0"/>
        </c:dLbls>
        <c:gapWidth val="0"/>
        <c:axId val="70064272"/>
        <c:axId val="70066592"/>
      </c:barChart>
      <c:catAx>
        <c:axId val="7006427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70066592"/>
        <c:crosses val="autoZero"/>
        <c:auto val="1"/>
        <c:lblAlgn val="ctr"/>
        <c:lblOffset val="0"/>
        <c:noMultiLvlLbl val="0"/>
      </c:catAx>
      <c:valAx>
        <c:axId val="70066592"/>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70064272"/>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'Subbituminous Coal'!$B$15:$B$30</c:f>
              <c:strCache>
                <c:ptCount val="16"/>
                <c:pt idx="0">
                  <c:v>Dewatering</c:v>
                </c:pt>
                <c:pt idx="1">
                  <c:v>Subsidence-related drainage</c:v>
                </c:pt>
                <c:pt idx="2">
                  <c:v>Revegetation</c:v>
                </c:pt>
                <c:pt idx="5">
                  <c:v>Coal preparation</c:v>
                </c:pt>
                <c:pt idx="8">
                  <c:v>Power plant cooling</c:v>
                </c:pt>
                <c:pt idx="11">
                  <c:v>Ash handling</c:v>
                </c:pt>
                <c:pt idx="12">
                  <c:v>Sulfur scrubbing</c:v>
                </c:pt>
                <c:pt idx="15">
                  <c:v>Combustion</c:v>
                </c:pt>
              </c:strCache>
            </c:strRef>
          </c:cat>
          <c:val>
            <c:numRef>
              <c:f>'Subbituminous Coal'!$O$15:$O$30</c:f>
              <c:numCache>
                <c:formatCode>General</c:formatCode>
                <c:ptCount val="16"/>
                <c:pt idx="0" formatCode="0.0E+00">
                  <c:v>8382176.413415188</c:v>
                </c:pt>
                <c:pt idx="2" formatCode="0">
                  <c:v>0</c:v>
                </c:pt>
                <c:pt idx="5" formatCode="0.0E+00">
                  <c:v>907933.10516587691</c:v>
                </c:pt>
                <c:pt idx="8" formatCode="0.0E+00">
                  <c:v>53565034965.72789</c:v>
                </c:pt>
                <c:pt idx="11" formatCode="0.0E+00">
                  <c:v>19791595.225318454</c:v>
                </c:pt>
                <c:pt idx="12" formatCode="0">
                  <c:v>0</c:v>
                </c:pt>
                <c:pt idx="15" formatCode="0.0E+00">
                  <c:v>-242765424.04966447</c:v>
                </c:pt>
              </c:numCache>
            </c:numRef>
          </c:val>
          <c:extLst>
            <c:ext xmlns:c16="http://schemas.microsoft.com/office/drawing/2014/chart" uri="{C3380CC4-5D6E-409C-BE32-E72D297353CC}">
              <c16:uniqueId val="{00000000-3CD5-0C4E-819D-3397AE96B1A1}"/>
            </c:ext>
          </c:extLst>
        </c:ser>
        <c:dLbls>
          <c:showLegendKey val="0"/>
          <c:showVal val="0"/>
          <c:showCatName val="0"/>
          <c:showSerName val="0"/>
          <c:showPercent val="0"/>
          <c:showBubbleSize val="0"/>
        </c:dLbls>
        <c:gapWidth val="0"/>
        <c:axId val="-30341168"/>
        <c:axId val="-30338848"/>
      </c:barChart>
      <c:catAx>
        <c:axId val="-3034116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0338848"/>
        <c:crosses val="autoZero"/>
        <c:auto val="1"/>
        <c:lblAlgn val="ctr"/>
        <c:lblOffset val="0"/>
        <c:noMultiLvlLbl val="0"/>
      </c:catAx>
      <c:valAx>
        <c:axId val="-30338848"/>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0341168"/>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'Subbituminous Coal'!$K$13</c:f>
              <c:numCache>
                <c:formatCode>0%</c:formatCode>
                <c:ptCount val="1"/>
                <c:pt idx="0">
                  <c:v>0.23475225269587266</c:v>
                </c:pt>
              </c:numCache>
            </c:numRef>
          </c:val>
          <c:extLst>
            <c:ext xmlns:c16="http://schemas.microsoft.com/office/drawing/2014/chart" uri="{C3380CC4-5D6E-409C-BE32-E72D297353CC}">
              <c16:uniqueId val="{00000000-CB0B-E448-A002-F9E97056C3F9}"/>
            </c:ext>
          </c:extLst>
        </c:ser>
        <c:ser>
          <c:idx val="0"/>
          <c:order val="1"/>
          <c:tx>
            <c:v>Surface</c:v>
          </c:tx>
          <c:spPr>
            <a:solidFill>
              <a:srgbClr val="335C89"/>
            </a:solidFill>
            <a:ln w="19050">
              <a:solidFill>
                <a:schemeClr val="lt1"/>
              </a:solidFill>
            </a:ln>
            <a:effectLst/>
          </c:spPr>
          <c:invertIfNegative val="0"/>
          <c:val>
            <c:numRef>
              <c:f>'Subbituminous Coal'!$L$13</c:f>
              <c:numCache>
                <c:formatCode>0%</c:formatCode>
                <c:ptCount val="1"/>
                <c:pt idx="0">
                  <c:v>0.74094238492053</c:v>
                </c:pt>
              </c:numCache>
            </c:numRef>
          </c:val>
          <c:extLst>
            <c:ext xmlns:c16="http://schemas.microsoft.com/office/drawing/2014/chart" uri="{C3380CC4-5D6E-409C-BE32-E72D297353CC}">
              <c16:uniqueId val="{00000001-CB0B-E448-A002-F9E97056C3F9}"/>
            </c:ext>
          </c:extLst>
        </c:ser>
        <c:ser>
          <c:idx val="2"/>
          <c:order val="2"/>
          <c:tx>
            <c:v>Reuse</c:v>
          </c:tx>
          <c:spPr>
            <a:solidFill>
              <a:srgbClr val="19416C"/>
            </a:solidFill>
            <a:ln w="19050">
              <a:solidFill>
                <a:schemeClr val="lt1"/>
              </a:solidFill>
            </a:ln>
            <a:effectLst/>
          </c:spPr>
          <c:invertIfNegative val="0"/>
          <c:val>
            <c:numRef>
              <c:f>'Subbituminous Coal'!$M$13</c:f>
              <c:numCache>
                <c:formatCode>0%</c:formatCode>
                <c:ptCount val="1"/>
                <c:pt idx="0">
                  <c:v>2.4305362383597331E-2</c:v>
                </c:pt>
              </c:numCache>
            </c:numRef>
          </c:val>
          <c:extLst>
            <c:ext xmlns:c16="http://schemas.microsoft.com/office/drawing/2014/chart" uri="{C3380CC4-5D6E-409C-BE32-E72D297353CC}">
              <c16:uniqueId val="{00000002-CB0B-E448-A002-F9E97056C3F9}"/>
            </c:ext>
          </c:extLst>
        </c:ser>
        <c:dLbls>
          <c:showLegendKey val="0"/>
          <c:showVal val="0"/>
          <c:showCatName val="0"/>
          <c:showSerName val="0"/>
          <c:showPercent val="0"/>
          <c:showBubbleSize val="0"/>
        </c:dLbls>
        <c:gapWidth val="0"/>
        <c:overlap val="100"/>
        <c:axId val="70089904"/>
        <c:axId val="70087584"/>
      </c:barChart>
      <c:valAx>
        <c:axId val="70087584"/>
        <c:scaling>
          <c:orientation val="minMax"/>
        </c:scaling>
        <c:delete val="1"/>
        <c:axPos val="b"/>
        <c:numFmt formatCode="0%" sourceLinked="1"/>
        <c:majorTickMark val="out"/>
        <c:minorTickMark val="none"/>
        <c:tickLblPos val="nextTo"/>
        <c:crossAx val="70089904"/>
        <c:crosses val="autoZero"/>
        <c:crossBetween val="between"/>
      </c:valAx>
      <c:catAx>
        <c:axId val="70089904"/>
        <c:scaling>
          <c:orientation val="minMax"/>
        </c:scaling>
        <c:delete val="1"/>
        <c:axPos val="l"/>
        <c:majorTickMark val="out"/>
        <c:minorTickMark val="none"/>
        <c:tickLblPos val="nextTo"/>
        <c:crossAx val="7008758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76B2-634E-8E58-0F6CCD6DA99F}"/>
              </c:ext>
            </c:extLst>
          </c:dPt>
          <c:val>
            <c:numRef>
              <c:f>'Subbituminous Coal'!$F$13</c:f>
              <c:numCache>
                <c:formatCode>0%</c:formatCode>
                <c:ptCount val="1"/>
                <c:pt idx="0">
                  <c:v>0.9988111711004517</c:v>
                </c:pt>
              </c:numCache>
            </c:numRef>
          </c:val>
          <c:extLst>
            <c:ext xmlns:c16="http://schemas.microsoft.com/office/drawing/2014/chart" uri="{C3380CC4-5D6E-409C-BE32-E72D297353CC}">
              <c16:uniqueId val="{00000002-76B2-634E-8E58-0F6CCD6DA99F}"/>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76B2-634E-8E58-0F6CCD6DA99F}"/>
              </c:ext>
            </c:extLst>
          </c:dPt>
          <c:val>
            <c:numRef>
              <c:f>'Subbituminous Coal'!$G$13</c:f>
              <c:numCache>
                <c:formatCode>0%</c:formatCode>
                <c:ptCount val="1"/>
                <c:pt idx="0">
                  <c:v>1.0950919758453397E-3</c:v>
                </c:pt>
              </c:numCache>
            </c:numRef>
          </c:val>
          <c:extLst>
            <c:ext xmlns:c16="http://schemas.microsoft.com/office/drawing/2014/chart" uri="{C3380CC4-5D6E-409C-BE32-E72D297353CC}">
              <c16:uniqueId val="{00000005-76B2-634E-8E58-0F6CCD6DA99F}"/>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76B2-634E-8E58-0F6CCD6DA99F}"/>
              </c:ext>
            </c:extLst>
          </c:dPt>
          <c:val>
            <c:numRef>
              <c:f>'Subbituminous Coal'!$H$13</c:f>
              <c:numCache>
                <c:formatCode>0%</c:formatCode>
                <c:ptCount val="1"/>
                <c:pt idx="0">
                  <c:v>9.3736923703153339E-5</c:v>
                </c:pt>
              </c:numCache>
            </c:numRef>
          </c:val>
          <c:extLst>
            <c:ext xmlns:c16="http://schemas.microsoft.com/office/drawing/2014/chart" uri="{C3380CC4-5D6E-409C-BE32-E72D297353CC}">
              <c16:uniqueId val="{00000008-76B2-634E-8E58-0F6CCD6DA99F}"/>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76B2-634E-8E58-0F6CCD6DA99F}"/>
              </c:ext>
            </c:extLst>
          </c:dPt>
          <c:val>
            <c:numRef>
              <c:f>'Subbituminous Coal'!$I$13</c:f>
              <c:numCache>
                <c:formatCode>0%</c:formatCode>
                <c:ptCount val="1"/>
                <c:pt idx="0">
                  <c:v>0</c:v>
                </c:pt>
              </c:numCache>
            </c:numRef>
          </c:val>
          <c:extLst>
            <c:ext xmlns:c16="http://schemas.microsoft.com/office/drawing/2014/chart" uri="{C3380CC4-5D6E-409C-BE32-E72D297353CC}">
              <c16:uniqueId val="{0000000B-76B2-634E-8E58-0F6CCD6DA99F}"/>
            </c:ext>
          </c:extLst>
        </c:ser>
        <c:dLbls>
          <c:showLegendKey val="0"/>
          <c:showVal val="0"/>
          <c:showCatName val="0"/>
          <c:showSerName val="0"/>
          <c:showPercent val="0"/>
          <c:showBubbleSize val="0"/>
        </c:dLbls>
        <c:gapWidth val="0"/>
        <c:overlap val="100"/>
        <c:axId val="70124880"/>
        <c:axId val="70122048"/>
      </c:barChart>
      <c:valAx>
        <c:axId val="70122048"/>
        <c:scaling>
          <c:orientation val="minMax"/>
          <c:min val="0"/>
        </c:scaling>
        <c:delete val="1"/>
        <c:axPos val="b"/>
        <c:numFmt formatCode="0%" sourceLinked="1"/>
        <c:majorTickMark val="out"/>
        <c:minorTickMark val="none"/>
        <c:tickLblPos val="nextTo"/>
        <c:crossAx val="70124880"/>
        <c:crosses val="autoZero"/>
        <c:crossBetween val="between"/>
      </c:valAx>
      <c:catAx>
        <c:axId val="70124880"/>
        <c:scaling>
          <c:orientation val="minMax"/>
        </c:scaling>
        <c:delete val="1"/>
        <c:axPos val="l"/>
        <c:majorTickMark val="out"/>
        <c:minorTickMark val="none"/>
        <c:tickLblPos val="nextTo"/>
        <c:crossAx val="701220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'Subbituminous Coal'!$W$13</c:f>
              <c:numCache>
                <c:formatCode>0%</c:formatCode>
                <c:ptCount val="1"/>
                <c:pt idx="0">
                  <c:v>5.225452432216296E-3</c:v>
                </c:pt>
              </c:numCache>
            </c:numRef>
          </c:val>
          <c:extLst>
            <c:ext xmlns:c16="http://schemas.microsoft.com/office/drawing/2014/chart" uri="{C3380CC4-5D6E-409C-BE32-E72D297353CC}">
              <c16:uniqueId val="{00000000-81A3-6546-8BDA-1898368141A2}"/>
            </c:ext>
          </c:extLst>
        </c:ser>
        <c:ser>
          <c:idx val="0"/>
          <c:order val="1"/>
          <c:tx>
            <c:v>Surface</c:v>
          </c:tx>
          <c:spPr>
            <a:solidFill>
              <a:srgbClr val="335C89"/>
            </a:solidFill>
            <a:ln w="19050">
              <a:solidFill>
                <a:schemeClr val="lt1"/>
              </a:solidFill>
            </a:ln>
            <a:effectLst/>
          </c:spPr>
          <c:invertIfNegative val="0"/>
          <c:val>
            <c:numRef>
              <c:f>'Subbituminous Coal'!$X$13</c:f>
              <c:numCache>
                <c:formatCode>0%</c:formatCode>
                <c:ptCount val="1"/>
                <c:pt idx="0">
                  <c:v>0.9887599556298392</c:v>
                </c:pt>
              </c:numCache>
            </c:numRef>
          </c:val>
          <c:extLst>
            <c:ext xmlns:c16="http://schemas.microsoft.com/office/drawing/2014/chart" uri="{C3380CC4-5D6E-409C-BE32-E72D297353CC}">
              <c16:uniqueId val="{00000001-81A3-6546-8BDA-1898368141A2}"/>
            </c:ext>
          </c:extLst>
        </c:ser>
        <c:ser>
          <c:idx val="2"/>
          <c:order val="2"/>
          <c:tx>
            <c:v>Reuse</c:v>
          </c:tx>
          <c:spPr>
            <a:solidFill>
              <a:srgbClr val="19416C"/>
            </a:solidFill>
            <a:ln w="19050">
              <a:solidFill>
                <a:schemeClr val="lt1"/>
              </a:solidFill>
            </a:ln>
            <a:effectLst/>
          </c:spPr>
          <c:invertIfNegative val="0"/>
          <c:val>
            <c:numRef>
              <c:f>'Subbituminous Coal'!$Y$13</c:f>
              <c:numCache>
                <c:formatCode>0%</c:formatCode>
                <c:ptCount val="1"/>
                <c:pt idx="0">
                  <c:v>6.0145919379444978E-3</c:v>
                </c:pt>
              </c:numCache>
            </c:numRef>
          </c:val>
          <c:extLst>
            <c:ext xmlns:c16="http://schemas.microsoft.com/office/drawing/2014/chart" uri="{C3380CC4-5D6E-409C-BE32-E72D297353CC}">
              <c16:uniqueId val="{00000002-81A3-6546-8BDA-1898368141A2}"/>
            </c:ext>
          </c:extLst>
        </c:ser>
        <c:dLbls>
          <c:showLegendKey val="0"/>
          <c:showVal val="0"/>
          <c:showCatName val="0"/>
          <c:showSerName val="0"/>
          <c:showPercent val="0"/>
          <c:showBubbleSize val="0"/>
        </c:dLbls>
        <c:gapWidth val="0"/>
        <c:overlap val="100"/>
        <c:axId val="39269072"/>
        <c:axId val="39266752"/>
      </c:barChart>
      <c:valAx>
        <c:axId val="39266752"/>
        <c:scaling>
          <c:orientation val="minMax"/>
          <c:min val="0"/>
        </c:scaling>
        <c:delete val="1"/>
        <c:axPos val="b"/>
        <c:numFmt formatCode="0%" sourceLinked="0"/>
        <c:majorTickMark val="out"/>
        <c:minorTickMark val="none"/>
        <c:tickLblPos val="nextTo"/>
        <c:crossAx val="39269072"/>
        <c:crosses val="autoZero"/>
        <c:crossBetween val="between"/>
      </c:valAx>
      <c:catAx>
        <c:axId val="39269072"/>
        <c:scaling>
          <c:orientation val="minMax"/>
        </c:scaling>
        <c:delete val="1"/>
        <c:axPos val="l"/>
        <c:majorTickMark val="out"/>
        <c:minorTickMark val="none"/>
        <c:tickLblPos val="nextTo"/>
        <c:crossAx val="3926675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12950600801103E-2"/>
          <c:y val="0.133333333333333"/>
          <c:w val="0.93057409879839803"/>
          <c:h val="0.72222222222222199"/>
        </c:manualLayout>
      </c:layout>
      <c:barChart>
        <c:barDir val="bar"/>
        <c:grouping val="stacked"/>
        <c:varyColors val="0"/>
        <c:ser>
          <c:idx val="0"/>
          <c:order val="0"/>
          <c:spPr>
            <a:solidFill>
              <a:schemeClr val="tx1"/>
            </a:solidFill>
            <a:ln>
              <a:noFill/>
            </a:ln>
            <a:effectLst/>
          </c:spPr>
          <c:invertIfNegative val="0"/>
          <c:cat>
            <c:strRef>
              <c:f>'Intensity Summary'!$B$10:$B$13</c:f>
              <c:strCache>
                <c:ptCount val="4"/>
                <c:pt idx="0">
                  <c:v>Freshwater</c:v>
                </c:pt>
                <c:pt idx="1">
                  <c:v>Brackish Water</c:v>
                </c:pt>
                <c:pt idx="2">
                  <c:v>Saline</c:v>
                </c:pt>
                <c:pt idx="3">
                  <c:v>Not RO Treatable</c:v>
                </c:pt>
              </c:strCache>
            </c:strRef>
          </c:cat>
          <c:val>
            <c:numRef>
              <c:f>'Intensity Summary'!$C$10:$C$13</c:f>
              <c:numCache>
                <c:formatCode>0.0E+00</c:formatCode>
                <c:ptCount val="4"/>
                <c:pt idx="0">
                  <c:v>0.18571710674008843</c:v>
                </c:pt>
                <c:pt idx="1">
                  <c:v>6.8249608018725741E-3</c:v>
                </c:pt>
                <c:pt idx="2">
                  <c:v>1.1608446968200599E-2</c:v>
                </c:pt>
                <c:pt idx="3">
                  <c:v>2.5470490830579652E-2</c:v>
                </c:pt>
              </c:numCache>
            </c:numRef>
          </c:val>
          <c:extLst>
            <c:ext xmlns:c16="http://schemas.microsoft.com/office/drawing/2014/chart" uri="{C3380CC4-5D6E-409C-BE32-E72D297353CC}">
              <c16:uniqueId val="{00000000-5354-5045-A310-461A56501BA6}"/>
            </c:ext>
          </c:extLst>
        </c:ser>
        <c:ser>
          <c:idx val="1"/>
          <c:order val="1"/>
          <c:spPr>
            <a:solidFill>
              <a:schemeClr val="bg1">
                <a:lumMod val="75000"/>
              </a:schemeClr>
            </a:solidFill>
            <a:ln>
              <a:noFill/>
            </a:ln>
            <a:effectLst/>
          </c:spPr>
          <c:invertIfNegative val="0"/>
          <c:cat>
            <c:strRef>
              <c:f>'Intensity Summary'!$B$10:$B$13</c:f>
              <c:strCache>
                <c:ptCount val="4"/>
                <c:pt idx="0">
                  <c:v>Freshwater</c:v>
                </c:pt>
                <c:pt idx="1">
                  <c:v>Brackish Water</c:v>
                </c:pt>
                <c:pt idx="2">
                  <c:v>Saline</c:v>
                </c:pt>
                <c:pt idx="3">
                  <c:v>Not RO Treatable</c:v>
                </c:pt>
              </c:strCache>
            </c:strRef>
          </c:cat>
          <c:val>
            <c:numRef>
              <c:f>'Intensity Summary'!$E$10:$E$13</c:f>
              <c:numCache>
                <c:formatCode>0.0E+00</c:formatCode>
                <c:ptCount val="4"/>
                <c:pt idx="0">
                  <c:v>2.3336660338555082</c:v>
                </c:pt>
                <c:pt idx="1">
                  <c:v>0.19914525469248706</c:v>
                </c:pt>
                <c:pt idx="2">
                  <c:v>0.29397467476874434</c:v>
                </c:pt>
                <c:pt idx="3">
                  <c:v>2.0785563267922906E-2</c:v>
                </c:pt>
              </c:numCache>
            </c:numRef>
          </c:val>
          <c:extLst>
            <c:ext xmlns:c16="http://schemas.microsoft.com/office/drawing/2014/chart" uri="{C3380CC4-5D6E-409C-BE32-E72D297353CC}">
              <c16:uniqueId val="{00000001-5354-5045-A310-461A56501BA6}"/>
            </c:ext>
          </c:extLst>
        </c:ser>
        <c:dLbls>
          <c:showLegendKey val="0"/>
          <c:showVal val="0"/>
          <c:showCatName val="0"/>
          <c:showSerName val="0"/>
          <c:showPercent val="0"/>
          <c:showBubbleSize val="0"/>
        </c:dLbls>
        <c:gapWidth val="9"/>
        <c:overlap val="100"/>
        <c:axId val="-29916928"/>
        <c:axId val="-29906880"/>
      </c:barChart>
      <c:catAx>
        <c:axId val="-29916928"/>
        <c:scaling>
          <c:orientation val="maxMin"/>
        </c:scaling>
        <c:delete val="1"/>
        <c:axPos val="l"/>
        <c:numFmt formatCode="General" sourceLinked="1"/>
        <c:majorTickMark val="none"/>
        <c:minorTickMark val="none"/>
        <c:tickLblPos val="nextTo"/>
        <c:crossAx val="-29906880"/>
        <c:crosses val="autoZero"/>
        <c:auto val="1"/>
        <c:lblAlgn val="ctr"/>
        <c:lblOffset val="100"/>
        <c:noMultiLvlLbl val="0"/>
      </c:catAx>
      <c:valAx>
        <c:axId val="-29906880"/>
        <c:scaling>
          <c:orientation val="minMax"/>
          <c:max val="30"/>
        </c:scaling>
        <c:delete val="1"/>
        <c:axPos val="t"/>
        <c:numFmt formatCode="0.0E+00" sourceLinked="0"/>
        <c:majorTickMark val="out"/>
        <c:minorTickMark val="none"/>
        <c:tickLblPos val="nextTo"/>
        <c:crossAx val="-29916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'Subbituminous Coal'!$R$13</c:f>
              <c:numCache>
                <c:formatCode>0%</c:formatCode>
                <c:ptCount val="1"/>
                <c:pt idx="0">
                  <c:v>0.99576896599248887</c:v>
                </c:pt>
              </c:numCache>
            </c:numRef>
          </c:val>
          <c:extLst>
            <c:ext xmlns:c16="http://schemas.microsoft.com/office/drawing/2014/chart" uri="{C3380CC4-5D6E-409C-BE32-E72D297353CC}">
              <c16:uniqueId val="{00000000-6001-9B42-9594-078E0233A66B}"/>
            </c:ext>
          </c:extLst>
        </c:ser>
        <c:ser>
          <c:idx val="1"/>
          <c:order val="1"/>
          <c:tx>
            <c:v>Brackish</c:v>
          </c:tx>
          <c:spPr>
            <a:solidFill>
              <a:srgbClr val="98D862"/>
            </a:solidFill>
            <a:ln w="19050">
              <a:solidFill>
                <a:schemeClr val="lt1"/>
              </a:solidFill>
            </a:ln>
            <a:effectLst/>
          </c:spPr>
          <c:invertIfNegative val="0"/>
          <c:val>
            <c:numRef>
              <c:f>'Subbituminous Coal'!$S$13</c:f>
              <c:numCache>
                <c:formatCode>0%</c:formatCode>
                <c:ptCount val="1"/>
                <c:pt idx="0">
                  <c:v>4.1109661561522541E-3</c:v>
                </c:pt>
              </c:numCache>
            </c:numRef>
          </c:val>
          <c:extLst>
            <c:ext xmlns:c16="http://schemas.microsoft.com/office/drawing/2014/chart" uri="{C3380CC4-5D6E-409C-BE32-E72D297353CC}">
              <c16:uniqueId val="{00000001-6001-9B42-9594-078E0233A66B}"/>
            </c:ext>
          </c:extLst>
        </c:ser>
        <c:ser>
          <c:idx val="2"/>
          <c:order val="2"/>
          <c:tx>
            <c:v>Saline</c:v>
          </c:tx>
          <c:spPr>
            <a:solidFill>
              <a:srgbClr val="6EB739"/>
            </a:solidFill>
            <a:ln w="19050">
              <a:solidFill>
                <a:schemeClr val="lt1"/>
              </a:solidFill>
            </a:ln>
            <a:effectLst/>
          </c:spPr>
          <c:invertIfNegative val="0"/>
          <c:val>
            <c:numRef>
              <c:f>'Subbituminous Coal'!$T$13</c:f>
              <c:numCache>
                <c:formatCode>0%</c:formatCode>
                <c:ptCount val="1"/>
                <c:pt idx="0">
                  <c:v>1.2006785135875577E-4</c:v>
                </c:pt>
              </c:numCache>
            </c:numRef>
          </c:val>
          <c:extLst>
            <c:ext xmlns:c16="http://schemas.microsoft.com/office/drawing/2014/chart" uri="{C3380CC4-5D6E-409C-BE32-E72D297353CC}">
              <c16:uniqueId val="{00000002-6001-9B42-9594-078E0233A66B}"/>
            </c:ext>
          </c:extLst>
        </c:ser>
        <c:ser>
          <c:idx val="3"/>
          <c:order val="3"/>
          <c:tx>
            <c:v>Not RO</c:v>
          </c:tx>
          <c:spPr>
            <a:solidFill>
              <a:srgbClr val="5A9D2C"/>
            </a:solidFill>
            <a:ln w="19050">
              <a:solidFill>
                <a:schemeClr val="lt1"/>
              </a:solidFill>
            </a:ln>
            <a:effectLst/>
          </c:spPr>
          <c:invertIfNegative val="0"/>
          <c:val>
            <c:numRef>
              <c:f>'Subbituminous Coal'!$U$13</c:f>
              <c:numCache>
                <c:formatCode>0%</c:formatCode>
                <c:ptCount val="1"/>
                <c:pt idx="0">
                  <c:v>0</c:v>
                </c:pt>
              </c:numCache>
            </c:numRef>
          </c:val>
          <c:extLst>
            <c:ext xmlns:c16="http://schemas.microsoft.com/office/drawing/2014/chart" uri="{C3380CC4-5D6E-409C-BE32-E72D297353CC}">
              <c16:uniqueId val="{00000003-6001-9B42-9594-078E0233A66B}"/>
            </c:ext>
          </c:extLst>
        </c:ser>
        <c:dLbls>
          <c:showLegendKey val="0"/>
          <c:showVal val="0"/>
          <c:showCatName val="0"/>
          <c:showSerName val="0"/>
          <c:showPercent val="0"/>
          <c:showBubbleSize val="0"/>
        </c:dLbls>
        <c:gapWidth val="0"/>
        <c:overlap val="100"/>
        <c:axId val="39306976"/>
        <c:axId val="39304144"/>
      </c:barChart>
      <c:valAx>
        <c:axId val="39304144"/>
        <c:scaling>
          <c:orientation val="minMax"/>
          <c:min val="0"/>
        </c:scaling>
        <c:delete val="1"/>
        <c:axPos val="b"/>
        <c:numFmt formatCode="0%" sourceLinked="1"/>
        <c:majorTickMark val="out"/>
        <c:minorTickMark val="none"/>
        <c:tickLblPos val="nextTo"/>
        <c:crossAx val="39306976"/>
        <c:crosses val="autoZero"/>
        <c:crossBetween val="between"/>
      </c:valAx>
      <c:catAx>
        <c:axId val="39306976"/>
        <c:scaling>
          <c:orientation val="minMax"/>
        </c:scaling>
        <c:delete val="1"/>
        <c:axPos val="l"/>
        <c:majorTickMark val="out"/>
        <c:minorTickMark val="none"/>
        <c:tickLblPos val="nextTo"/>
        <c:crossAx val="3930414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4721062992125998"/>
          <c:y val="6.8733960338291003E-2"/>
          <c:w val="0.490025590551181"/>
          <c:h val="0.83437518226888296"/>
        </c:manualLayout>
      </c:layout>
      <c:barChart>
        <c:barDir val="bar"/>
        <c:grouping val="clustered"/>
        <c:varyColors val="0"/>
        <c:ser>
          <c:idx val="0"/>
          <c:order val="0"/>
          <c:spPr>
            <a:solidFill>
              <a:schemeClr val="tx1"/>
            </a:solidFill>
            <a:ln>
              <a:noFill/>
            </a:ln>
            <a:effectLst/>
          </c:spPr>
          <c:invertIfNegative val="0"/>
          <c:cat>
            <c:strRef>
              <c:f>'Bituminous Coal'!$B$15:$B$35</c:f>
              <c:strCache>
                <c:ptCount val="21"/>
                <c:pt idx="0">
                  <c:v>Dewatering, Appalachia</c:v>
                </c:pt>
                <c:pt idx="1">
                  <c:v>Dewatering, Non-Gulf Interior</c:v>
                </c:pt>
                <c:pt idx="2">
                  <c:v>Dewatering, Rocky Mountain Region</c:v>
                </c:pt>
                <c:pt idx="3">
                  <c:v>Subsidence-related drainage</c:v>
                </c:pt>
                <c:pt idx="4">
                  <c:v>Stream burial and aquifer removal</c:v>
                </c:pt>
                <c:pt idx="5">
                  <c:v>Revegetation</c:v>
                </c:pt>
                <c:pt idx="8">
                  <c:v>Coal preparation, Appalachia</c:v>
                </c:pt>
                <c:pt idx="9">
                  <c:v>Coal preparation, Non-Gulf Interior</c:v>
                </c:pt>
                <c:pt idx="10">
                  <c:v>Coal preparation, Rocky Mountain Region</c:v>
                </c:pt>
                <c:pt idx="13">
                  <c:v>Power plant cooling</c:v>
                </c:pt>
                <c:pt idx="16">
                  <c:v>Ash handling</c:v>
                </c:pt>
                <c:pt idx="17">
                  <c:v>Sulfur scrubbing</c:v>
                </c:pt>
                <c:pt idx="20">
                  <c:v>Combustion</c:v>
                </c:pt>
              </c:strCache>
            </c:strRef>
          </c:cat>
          <c:val>
            <c:numRef>
              <c:f>'Bituminous Coal'!$C$15:$C$35</c:f>
              <c:numCache>
                <c:formatCode>0.0E+00</c:formatCode>
                <c:ptCount val="21"/>
                <c:pt idx="0">
                  <c:v>108222451.93026051</c:v>
                </c:pt>
                <c:pt idx="1">
                  <c:v>423247859.98957211</c:v>
                </c:pt>
                <c:pt idx="2">
                  <c:v>28508844.903805252</c:v>
                </c:pt>
                <c:pt idx="3">
                  <c:v>0</c:v>
                </c:pt>
                <c:pt idx="4">
                  <c:v>0</c:v>
                </c:pt>
                <c:pt idx="5" formatCode="General">
                  <c:v>0</c:v>
                </c:pt>
                <c:pt idx="8">
                  <c:v>32050038.612355459</c:v>
                </c:pt>
                <c:pt idx="9">
                  <c:v>22226202.414460666</c:v>
                </c:pt>
                <c:pt idx="10">
                  <c:v>5302329.334168721</c:v>
                </c:pt>
                <c:pt idx="13">
                  <c:v>797559286.27680087</c:v>
                </c:pt>
                <c:pt idx="16">
                  <c:v>41858361.913219959</c:v>
                </c:pt>
                <c:pt idx="17">
                  <c:v>241508642.15443036</c:v>
                </c:pt>
                <c:pt idx="20">
                  <c:v>-178266902.52767086</c:v>
                </c:pt>
              </c:numCache>
            </c:numRef>
          </c:val>
          <c:extLst>
            <c:ext xmlns:c16="http://schemas.microsoft.com/office/drawing/2014/chart" uri="{C3380CC4-5D6E-409C-BE32-E72D297353CC}">
              <c16:uniqueId val="{00000000-8145-2040-BF96-A21541F9BC04}"/>
            </c:ext>
          </c:extLst>
        </c:ser>
        <c:dLbls>
          <c:showLegendKey val="0"/>
          <c:showVal val="0"/>
          <c:showCatName val="0"/>
          <c:showSerName val="0"/>
          <c:showPercent val="0"/>
          <c:showBubbleSize val="0"/>
        </c:dLbls>
        <c:gapWidth val="0"/>
        <c:axId val="70151488"/>
        <c:axId val="70153808"/>
      </c:barChart>
      <c:catAx>
        <c:axId val="7015148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70153808"/>
        <c:crosses val="autoZero"/>
        <c:auto val="1"/>
        <c:lblAlgn val="ctr"/>
        <c:lblOffset val="0"/>
        <c:noMultiLvlLbl val="0"/>
      </c:catAx>
      <c:valAx>
        <c:axId val="70153808"/>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70151488"/>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78671426108099"/>
          <c:y val="6.8733960338291003E-2"/>
          <c:w val="0.55913201484383501"/>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'Bituminous Coal'!$B$15:$B$35</c:f>
              <c:strCache>
                <c:ptCount val="21"/>
                <c:pt idx="0">
                  <c:v>Dewatering, Appalachia</c:v>
                </c:pt>
                <c:pt idx="1">
                  <c:v>Dewatering, Non-Gulf Interior</c:v>
                </c:pt>
                <c:pt idx="2">
                  <c:v>Dewatering, Rocky Mountain Region</c:v>
                </c:pt>
                <c:pt idx="3">
                  <c:v>Subsidence-related drainage</c:v>
                </c:pt>
                <c:pt idx="4">
                  <c:v>Stream burial and aquifer removal</c:v>
                </c:pt>
                <c:pt idx="5">
                  <c:v>Revegetation</c:v>
                </c:pt>
                <c:pt idx="8">
                  <c:v>Coal preparation, Appalachia</c:v>
                </c:pt>
                <c:pt idx="9">
                  <c:v>Coal preparation, Non-Gulf Interior</c:v>
                </c:pt>
                <c:pt idx="10">
                  <c:v>Coal preparation, Rocky Mountain Region</c:v>
                </c:pt>
                <c:pt idx="13">
                  <c:v>Power plant cooling</c:v>
                </c:pt>
                <c:pt idx="16">
                  <c:v>Ash handling</c:v>
                </c:pt>
                <c:pt idx="17">
                  <c:v>Sulfur scrubbing</c:v>
                </c:pt>
                <c:pt idx="20">
                  <c:v>Combustion</c:v>
                </c:pt>
              </c:strCache>
            </c:strRef>
          </c:cat>
          <c:val>
            <c:numRef>
              <c:f>'Bituminous Coal'!$O$15:$O$35</c:f>
              <c:numCache>
                <c:formatCode>0.0E+00</c:formatCode>
                <c:ptCount val="21"/>
                <c:pt idx="0">
                  <c:v>108222451.93026051</c:v>
                </c:pt>
                <c:pt idx="1">
                  <c:v>423247859.98957211</c:v>
                </c:pt>
                <c:pt idx="2">
                  <c:v>28508844.903805252</c:v>
                </c:pt>
                <c:pt idx="5" formatCode="General">
                  <c:v>0</c:v>
                </c:pt>
                <c:pt idx="8">
                  <c:v>400625482.6544432</c:v>
                </c:pt>
                <c:pt idx="9">
                  <c:v>277827530.1807583</c:v>
                </c:pt>
                <c:pt idx="10">
                  <c:v>66279116.677109011</c:v>
                </c:pt>
                <c:pt idx="13">
                  <c:v>48661493678.220146</c:v>
                </c:pt>
                <c:pt idx="16">
                  <c:v>41858361.913219959</c:v>
                </c:pt>
                <c:pt idx="17" formatCode="0">
                  <c:v>0</c:v>
                </c:pt>
                <c:pt idx="20">
                  <c:v>-178266902.52767086</c:v>
                </c:pt>
              </c:numCache>
            </c:numRef>
          </c:val>
          <c:extLst>
            <c:ext xmlns:c16="http://schemas.microsoft.com/office/drawing/2014/chart" uri="{C3380CC4-5D6E-409C-BE32-E72D297353CC}">
              <c16:uniqueId val="{00000000-9C7E-8F45-BAF9-3120D25DDEF0}"/>
            </c:ext>
          </c:extLst>
        </c:ser>
        <c:dLbls>
          <c:showLegendKey val="0"/>
          <c:showVal val="0"/>
          <c:showCatName val="0"/>
          <c:showSerName val="0"/>
          <c:showPercent val="0"/>
          <c:showBubbleSize val="0"/>
        </c:dLbls>
        <c:gapWidth val="0"/>
        <c:axId val="-31800768"/>
        <c:axId val="-31798448"/>
      </c:barChart>
      <c:catAx>
        <c:axId val="-3180076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798448"/>
        <c:crosses val="autoZero"/>
        <c:auto val="1"/>
        <c:lblAlgn val="ctr"/>
        <c:lblOffset val="0"/>
        <c:noMultiLvlLbl val="0"/>
      </c:catAx>
      <c:valAx>
        <c:axId val="-31798448"/>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800768"/>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'Bituminous Coal'!$K$13</c:f>
              <c:numCache>
                <c:formatCode>0%</c:formatCode>
                <c:ptCount val="1"/>
                <c:pt idx="0">
                  <c:v>0.37426478662950052</c:v>
                </c:pt>
              </c:numCache>
            </c:numRef>
          </c:val>
          <c:extLst>
            <c:ext xmlns:c16="http://schemas.microsoft.com/office/drawing/2014/chart" uri="{C3380CC4-5D6E-409C-BE32-E72D297353CC}">
              <c16:uniqueId val="{00000000-9100-8D48-97FE-EA87DD485A5A}"/>
            </c:ext>
          </c:extLst>
        </c:ser>
        <c:ser>
          <c:idx val="0"/>
          <c:order val="1"/>
          <c:tx>
            <c:v>Surface</c:v>
          </c:tx>
          <c:spPr>
            <a:solidFill>
              <a:srgbClr val="335C89"/>
            </a:solidFill>
            <a:ln w="19050">
              <a:solidFill>
                <a:schemeClr val="lt1"/>
              </a:solidFill>
            </a:ln>
            <a:effectLst/>
          </c:spPr>
          <c:invertIfNegative val="0"/>
          <c:val>
            <c:numRef>
              <c:f>'Bituminous Coal'!$L$13</c:f>
              <c:numCache>
                <c:formatCode>0%</c:formatCode>
                <c:ptCount val="1"/>
                <c:pt idx="0">
                  <c:v>0.62053813374123812</c:v>
                </c:pt>
              </c:numCache>
            </c:numRef>
          </c:val>
          <c:extLst>
            <c:ext xmlns:c16="http://schemas.microsoft.com/office/drawing/2014/chart" uri="{C3380CC4-5D6E-409C-BE32-E72D297353CC}">
              <c16:uniqueId val="{00000001-9100-8D48-97FE-EA87DD485A5A}"/>
            </c:ext>
          </c:extLst>
        </c:ser>
        <c:ser>
          <c:idx val="2"/>
          <c:order val="2"/>
          <c:tx>
            <c:v>Reuse</c:v>
          </c:tx>
          <c:spPr>
            <a:solidFill>
              <a:srgbClr val="19416C"/>
            </a:solidFill>
            <a:ln w="19050">
              <a:solidFill>
                <a:schemeClr val="lt1"/>
              </a:solidFill>
            </a:ln>
            <a:effectLst/>
          </c:spPr>
          <c:invertIfNegative val="0"/>
          <c:val>
            <c:numRef>
              <c:f>'Bituminous Coal'!$M$13</c:f>
              <c:numCache>
                <c:formatCode>0%</c:formatCode>
                <c:ptCount val="1"/>
                <c:pt idx="0">
                  <c:v>5.1970796292615008E-3</c:v>
                </c:pt>
              </c:numCache>
            </c:numRef>
          </c:val>
          <c:extLst>
            <c:ext xmlns:c16="http://schemas.microsoft.com/office/drawing/2014/chart" uri="{C3380CC4-5D6E-409C-BE32-E72D297353CC}">
              <c16:uniqueId val="{00000002-9100-8D48-97FE-EA87DD485A5A}"/>
            </c:ext>
          </c:extLst>
        </c:ser>
        <c:dLbls>
          <c:showLegendKey val="0"/>
          <c:showVal val="0"/>
          <c:showCatName val="0"/>
          <c:showSerName val="0"/>
          <c:showPercent val="0"/>
          <c:showBubbleSize val="0"/>
        </c:dLbls>
        <c:gapWidth val="0"/>
        <c:overlap val="100"/>
        <c:axId val="-30310992"/>
        <c:axId val="-30313312"/>
      </c:barChart>
      <c:valAx>
        <c:axId val="-30313312"/>
        <c:scaling>
          <c:orientation val="minMax"/>
        </c:scaling>
        <c:delete val="1"/>
        <c:axPos val="b"/>
        <c:numFmt formatCode="0%" sourceLinked="1"/>
        <c:majorTickMark val="out"/>
        <c:minorTickMark val="none"/>
        <c:tickLblPos val="nextTo"/>
        <c:crossAx val="-30310992"/>
        <c:crosses val="autoZero"/>
        <c:crossBetween val="between"/>
      </c:valAx>
      <c:catAx>
        <c:axId val="-30310992"/>
        <c:scaling>
          <c:orientation val="minMax"/>
        </c:scaling>
        <c:delete val="1"/>
        <c:axPos val="l"/>
        <c:majorTickMark val="out"/>
        <c:minorTickMark val="none"/>
        <c:tickLblPos val="nextTo"/>
        <c:crossAx val="-3031331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E152-804C-A274-AA5EF2F7CA94}"/>
              </c:ext>
            </c:extLst>
          </c:dPt>
          <c:val>
            <c:numRef>
              <c:f>'Bituminous Coal'!$F$13</c:f>
              <c:numCache>
                <c:formatCode>0%</c:formatCode>
                <c:ptCount val="1"/>
                <c:pt idx="0">
                  <c:v>0.96072148784048683</c:v>
                </c:pt>
              </c:numCache>
            </c:numRef>
          </c:val>
          <c:extLst>
            <c:ext xmlns:c16="http://schemas.microsoft.com/office/drawing/2014/chart" uri="{C3380CC4-5D6E-409C-BE32-E72D297353CC}">
              <c16:uniqueId val="{00000002-E152-804C-A274-AA5EF2F7CA94}"/>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E152-804C-A274-AA5EF2F7CA94}"/>
              </c:ext>
            </c:extLst>
          </c:dPt>
          <c:val>
            <c:numRef>
              <c:f>'Bituminous Coal'!$G$13</c:f>
              <c:numCache>
                <c:formatCode>0%</c:formatCode>
                <c:ptCount val="1"/>
                <c:pt idx="0">
                  <c:v>2.4719375849623523E-2</c:v>
                </c:pt>
              </c:numCache>
            </c:numRef>
          </c:val>
          <c:extLst>
            <c:ext xmlns:c16="http://schemas.microsoft.com/office/drawing/2014/chart" uri="{C3380CC4-5D6E-409C-BE32-E72D297353CC}">
              <c16:uniqueId val="{00000005-E152-804C-A274-AA5EF2F7CA94}"/>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E152-804C-A274-AA5EF2F7CA94}"/>
              </c:ext>
            </c:extLst>
          </c:dPt>
          <c:val>
            <c:numRef>
              <c:f>'Bituminous Coal'!$H$13</c:f>
              <c:numCache>
                <c:formatCode>0%</c:formatCode>
                <c:ptCount val="1"/>
                <c:pt idx="0">
                  <c:v>1.4559136309889633E-2</c:v>
                </c:pt>
              </c:numCache>
            </c:numRef>
          </c:val>
          <c:extLst>
            <c:ext xmlns:c16="http://schemas.microsoft.com/office/drawing/2014/chart" uri="{C3380CC4-5D6E-409C-BE32-E72D297353CC}">
              <c16:uniqueId val="{00000008-E152-804C-A274-AA5EF2F7CA94}"/>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E152-804C-A274-AA5EF2F7CA94}"/>
              </c:ext>
            </c:extLst>
          </c:dPt>
          <c:val>
            <c:numRef>
              <c:f>'Bituminous Coal'!$I$13</c:f>
              <c:numCache>
                <c:formatCode>0%</c:formatCode>
                <c:ptCount val="1"/>
                <c:pt idx="0">
                  <c:v>0</c:v>
                </c:pt>
              </c:numCache>
            </c:numRef>
          </c:val>
          <c:extLst>
            <c:ext xmlns:c16="http://schemas.microsoft.com/office/drawing/2014/chart" uri="{C3380CC4-5D6E-409C-BE32-E72D297353CC}">
              <c16:uniqueId val="{0000000B-E152-804C-A274-AA5EF2F7CA94}"/>
            </c:ext>
          </c:extLst>
        </c:ser>
        <c:dLbls>
          <c:showLegendKey val="0"/>
          <c:showVal val="0"/>
          <c:showCatName val="0"/>
          <c:showSerName val="0"/>
          <c:showPercent val="0"/>
          <c:showBubbleSize val="0"/>
        </c:dLbls>
        <c:gapWidth val="0"/>
        <c:overlap val="100"/>
        <c:axId val="-31767472"/>
        <c:axId val="-31770304"/>
      </c:barChart>
      <c:valAx>
        <c:axId val="-31770304"/>
        <c:scaling>
          <c:orientation val="minMax"/>
          <c:min val="0"/>
        </c:scaling>
        <c:delete val="1"/>
        <c:axPos val="b"/>
        <c:numFmt formatCode="0%" sourceLinked="1"/>
        <c:majorTickMark val="out"/>
        <c:minorTickMark val="none"/>
        <c:tickLblPos val="nextTo"/>
        <c:crossAx val="-31767472"/>
        <c:crosses val="autoZero"/>
        <c:crossBetween val="between"/>
      </c:valAx>
      <c:catAx>
        <c:axId val="-31767472"/>
        <c:scaling>
          <c:orientation val="minMax"/>
        </c:scaling>
        <c:delete val="1"/>
        <c:axPos val="l"/>
        <c:majorTickMark val="out"/>
        <c:minorTickMark val="none"/>
        <c:tickLblPos val="nextTo"/>
        <c:crossAx val="-3177030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'Bituminous Coal'!$W$13</c:f>
              <c:numCache>
                <c:formatCode>0%</c:formatCode>
                <c:ptCount val="1"/>
                <c:pt idx="0">
                  <c:v>1.7880729751437147E-2</c:v>
                </c:pt>
              </c:numCache>
            </c:numRef>
          </c:val>
          <c:extLst>
            <c:ext xmlns:c16="http://schemas.microsoft.com/office/drawing/2014/chart" uri="{C3380CC4-5D6E-409C-BE32-E72D297353CC}">
              <c16:uniqueId val="{00000000-E1AC-954D-ADA0-6F0C6B8F95AC}"/>
            </c:ext>
          </c:extLst>
        </c:ser>
        <c:ser>
          <c:idx val="0"/>
          <c:order val="1"/>
          <c:tx>
            <c:v>Surface</c:v>
          </c:tx>
          <c:spPr>
            <a:solidFill>
              <a:srgbClr val="335C89"/>
            </a:solidFill>
            <a:ln w="19050">
              <a:solidFill>
                <a:schemeClr val="lt1"/>
              </a:solidFill>
            </a:ln>
            <a:effectLst/>
          </c:spPr>
          <c:invertIfNegative val="0"/>
          <c:val>
            <c:numRef>
              <c:f>'Bituminous Coal'!$X$13</c:f>
              <c:numCache>
                <c:formatCode>0%</c:formatCode>
                <c:ptCount val="1"/>
                <c:pt idx="0">
                  <c:v>0.98162929103759666</c:v>
                </c:pt>
              </c:numCache>
            </c:numRef>
          </c:val>
          <c:extLst>
            <c:ext xmlns:c16="http://schemas.microsoft.com/office/drawing/2014/chart" uri="{C3380CC4-5D6E-409C-BE32-E72D297353CC}">
              <c16:uniqueId val="{00000001-E1AC-954D-ADA0-6F0C6B8F95AC}"/>
            </c:ext>
          </c:extLst>
        </c:ser>
        <c:ser>
          <c:idx val="2"/>
          <c:order val="2"/>
          <c:tx>
            <c:v>Reuse</c:v>
          </c:tx>
          <c:spPr>
            <a:solidFill>
              <a:srgbClr val="19416C"/>
            </a:solidFill>
            <a:ln w="19050">
              <a:solidFill>
                <a:schemeClr val="lt1"/>
              </a:solidFill>
            </a:ln>
            <a:effectLst/>
          </c:spPr>
          <c:invertIfNegative val="0"/>
          <c:val>
            <c:numRef>
              <c:f>'Bituminous Coal'!$Y$13</c:f>
              <c:numCache>
                <c:formatCode>0%</c:formatCode>
                <c:ptCount val="1"/>
                <c:pt idx="0">
                  <c:v>4.8997921096614124E-4</c:v>
                </c:pt>
              </c:numCache>
            </c:numRef>
          </c:val>
          <c:extLst>
            <c:ext xmlns:c16="http://schemas.microsoft.com/office/drawing/2014/chart" uri="{C3380CC4-5D6E-409C-BE32-E72D297353CC}">
              <c16:uniqueId val="{00000002-E1AC-954D-ADA0-6F0C6B8F95AC}"/>
            </c:ext>
          </c:extLst>
        </c:ser>
        <c:dLbls>
          <c:showLegendKey val="0"/>
          <c:showVal val="0"/>
          <c:showCatName val="0"/>
          <c:showSerName val="0"/>
          <c:showPercent val="0"/>
          <c:showBubbleSize val="0"/>
        </c:dLbls>
        <c:gapWidth val="0"/>
        <c:overlap val="100"/>
        <c:axId val="-31734320"/>
        <c:axId val="-31736640"/>
      </c:barChart>
      <c:valAx>
        <c:axId val="-31736640"/>
        <c:scaling>
          <c:orientation val="minMax"/>
          <c:min val="0"/>
        </c:scaling>
        <c:delete val="1"/>
        <c:axPos val="b"/>
        <c:numFmt formatCode="0%" sourceLinked="0"/>
        <c:majorTickMark val="out"/>
        <c:minorTickMark val="none"/>
        <c:tickLblPos val="nextTo"/>
        <c:crossAx val="-31734320"/>
        <c:crosses val="autoZero"/>
        <c:crossBetween val="between"/>
      </c:valAx>
      <c:catAx>
        <c:axId val="-31734320"/>
        <c:scaling>
          <c:orientation val="minMax"/>
        </c:scaling>
        <c:delete val="1"/>
        <c:axPos val="l"/>
        <c:majorTickMark val="out"/>
        <c:minorTickMark val="none"/>
        <c:tickLblPos val="nextTo"/>
        <c:crossAx val="-3173664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'Bituminous Coal'!$R$13</c:f>
              <c:numCache>
                <c:formatCode>0%</c:formatCode>
                <c:ptCount val="1"/>
                <c:pt idx="0">
                  <c:v>0.89402678519593592</c:v>
                </c:pt>
              </c:numCache>
            </c:numRef>
          </c:val>
          <c:extLst>
            <c:ext xmlns:c16="http://schemas.microsoft.com/office/drawing/2014/chart" uri="{C3380CC4-5D6E-409C-BE32-E72D297353CC}">
              <c16:uniqueId val="{00000000-FD4D-5D40-BCBC-79BA6CBEC522}"/>
            </c:ext>
          </c:extLst>
        </c:ser>
        <c:ser>
          <c:idx val="1"/>
          <c:order val="1"/>
          <c:tx>
            <c:v>Brackish</c:v>
          </c:tx>
          <c:spPr>
            <a:solidFill>
              <a:srgbClr val="98D862"/>
            </a:solidFill>
            <a:ln w="19050">
              <a:solidFill>
                <a:schemeClr val="lt1"/>
              </a:solidFill>
            </a:ln>
            <a:effectLst/>
          </c:spPr>
          <c:invertIfNegative val="0"/>
          <c:val>
            <c:numRef>
              <c:f>'Bituminous Coal'!$S$13</c:f>
              <c:numCache>
                <c:formatCode>0%</c:formatCode>
                <c:ptCount val="1"/>
                <c:pt idx="0">
                  <c:v>5.7804833601602885E-2</c:v>
                </c:pt>
              </c:numCache>
            </c:numRef>
          </c:val>
          <c:extLst>
            <c:ext xmlns:c16="http://schemas.microsoft.com/office/drawing/2014/chart" uri="{C3380CC4-5D6E-409C-BE32-E72D297353CC}">
              <c16:uniqueId val="{00000001-FD4D-5D40-BCBC-79BA6CBEC522}"/>
            </c:ext>
          </c:extLst>
        </c:ser>
        <c:ser>
          <c:idx val="2"/>
          <c:order val="2"/>
          <c:tx>
            <c:v>Saline</c:v>
          </c:tx>
          <c:spPr>
            <a:solidFill>
              <a:srgbClr val="6EB739"/>
            </a:solidFill>
            <a:ln w="19050">
              <a:solidFill>
                <a:schemeClr val="lt1"/>
              </a:solidFill>
            </a:ln>
            <a:effectLst/>
          </c:spPr>
          <c:invertIfNegative val="0"/>
          <c:val>
            <c:numRef>
              <c:f>'Bituminous Coal'!$T$13</c:f>
              <c:numCache>
                <c:formatCode>0%</c:formatCode>
                <c:ptCount val="1"/>
                <c:pt idx="0">
                  <c:v>4.8168381202461155E-2</c:v>
                </c:pt>
              </c:numCache>
            </c:numRef>
          </c:val>
          <c:extLst>
            <c:ext xmlns:c16="http://schemas.microsoft.com/office/drawing/2014/chart" uri="{C3380CC4-5D6E-409C-BE32-E72D297353CC}">
              <c16:uniqueId val="{00000002-FD4D-5D40-BCBC-79BA6CBEC522}"/>
            </c:ext>
          </c:extLst>
        </c:ser>
        <c:ser>
          <c:idx val="3"/>
          <c:order val="3"/>
          <c:tx>
            <c:v>Not RO</c:v>
          </c:tx>
          <c:spPr>
            <a:solidFill>
              <a:srgbClr val="5A9D2C"/>
            </a:solidFill>
            <a:ln w="19050">
              <a:solidFill>
                <a:schemeClr val="lt1"/>
              </a:solidFill>
            </a:ln>
            <a:effectLst/>
          </c:spPr>
          <c:invertIfNegative val="0"/>
          <c:val>
            <c:numRef>
              <c:f>'Bituminous Coal'!$U$13</c:f>
              <c:numCache>
                <c:formatCode>0%</c:formatCode>
                <c:ptCount val="1"/>
                <c:pt idx="0">
                  <c:v>0</c:v>
                </c:pt>
              </c:numCache>
            </c:numRef>
          </c:val>
          <c:extLst>
            <c:ext xmlns:c16="http://schemas.microsoft.com/office/drawing/2014/chart" uri="{C3380CC4-5D6E-409C-BE32-E72D297353CC}">
              <c16:uniqueId val="{00000003-FD4D-5D40-BCBC-79BA6CBEC522}"/>
            </c:ext>
          </c:extLst>
        </c:ser>
        <c:dLbls>
          <c:showLegendKey val="0"/>
          <c:showVal val="0"/>
          <c:showCatName val="0"/>
          <c:showSerName val="0"/>
          <c:showPercent val="0"/>
          <c:showBubbleSize val="0"/>
        </c:dLbls>
        <c:gapWidth val="0"/>
        <c:overlap val="100"/>
        <c:axId val="39332112"/>
        <c:axId val="39329280"/>
      </c:barChart>
      <c:valAx>
        <c:axId val="39329280"/>
        <c:scaling>
          <c:orientation val="minMax"/>
          <c:min val="0"/>
        </c:scaling>
        <c:delete val="1"/>
        <c:axPos val="b"/>
        <c:numFmt formatCode="0%" sourceLinked="1"/>
        <c:majorTickMark val="out"/>
        <c:minorTickMark val="none"/>
        <c:tickLblPos val="nextTo"/>
        <c:crossAx val="39332112"/>
        <c:crosses val="autoZero"/>
        <c:crossBetween val="between"/>
      </c:valAx>
      <c:catAx>
        <c:axId val="39332112"/>
        <c:scaling>
          <c:orientation val="minMax"/>
        </c:scaling>
        <c:delete val="1"/>
        <c:axPos val="l"/>
        <c:majorTickMark val="out"/>
        <c:minorTickMark val="none"/>
        <c:tickLblPos val="nextTo"/>
        <c:crossAx val="3932928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tx1"/>
            </a:solidFill>
            <a:ln>
              <a:noFill/>
            </a:ln>
            <a:effectLst/>
          </c:spPr>
          <c:invertIfNegative val="0"/>
          <c:cat>
            <c:strRef>
              <c:f>'Lignite Coal'!$B$15:$B$28</c:f>
              <c:strCache>
                <c:ptCount val="14"/>
                <c:pt idx="0">
                  <c:v>Dewatering, Gulf Coast</c:v>
                </c:pt>
                <c:pt idx="1">
                  <c:v>Dewatering, North Dakota</c:v>
                </c:pt>
                <c:pt idx="2">
                  <c:v>Subsidence-related drainage</c:v>
                </c:pt>
                <c:pt idx="3">
                  <c:v>Revegetation</c:v>
                </c:pt>
                <c:pt idx="6">
                  <c:v>Power plant cooling</c:v>
                </c:pt>
                <c:pt idx="9">
                  <c:v>Ash handling</c:v>
                </c:pt>
                <c:pt idx="10">
                  <c:v>Sulfur scrubbing</c:v>
                </c:pt>
                <c:pt idx="13">
                  <c:v>Combustion</c:v>
                </c:pt>
              </c:strCache>
            </c:strRef>
          </c:cat>
          <c:val>
            <c:numRef>
              <c:f>'Lignite Coal'!$C$15:$C$28</c:f>
              <c:numCache>
                <c:formatCode>0.0E+00</c:formatCode>
                <c:ptCount val="14"/>
                <c:pt idx="0">
                  <c:v>32761544.206854895</c:v>
                </c:pt>
                <c:pt idx="1">
                  <c:v>459927.84994132287</c:v>
                </c:pt>
                <c:pt idx="2">
                  <c:v>0</c:v>
                </c:pt>
                <c:pt idx="3" formatCode="0">
                  <c:v>0</c:v>
                </c:pt>
                <c:pt idx="6">
                  <c:v>121740716.01708618</c:v>
                </c:pt>
                <c:pt idx="9">
                  <c:v>4180005.0685660052</c:v>
                </c:pt>
                <c:pt idx="10" formatCode="0">
                  <c:v>0</c:v>
                </c:pt>
                <c:pt idx="13">
                  <c:v>-22966689.002292536</c:v>
                </c:pt>
              </c:numCache>
            </c:numRef>
          </c:val>
          <c:extLst>
            <c:ext xmlns:c16="http://schemas.microsoft.com/office/drawing/2014/chart" uri="{C3380CC4-5D6E-409C-BE32-E72D297353CC}">
              <c16:uniqueId val="{00000000-2D0E-D849-B387-C3701F010D4A}"/>
            </c:ext>
          </c:extLst>
        </c:ser>
        <c:dLbls>
          <c:showLegendKey val="0"/>
          <c:showVal val="0"/>
          <c:showCatName val="0"/>
          <c:showSerName val="0"/>
          <c:showPercent val="0"/>
          <c:showBubbleSize val="0"/>
        </c:dLbls>
        <c:gapWidth val="0"/>
        <c:axId val="-30293520"/>
        <c:axId val="-30291200"/>
      </c:barChart>
      <c:catAx>
        <c:axId val="-3029352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0291200"/>
        <c:crosses val="autoZero"/>
        <c:auto val="1"/>
        <c:lblAlgn val="ctr"/>
        <c:lblOffset val="0"/>
        <c:noMultiLvlLbl val="0"/>
      </c:catAx>
      <c:valAx>
        <c:axId val="-30291200"/>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0293520"/>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'Lignite Coal'!$B$15:$B$28</c:f>
              <c:strCache>
                <c:ptCount val="14"/>
                <c:pt idx="0">
                  <c:v>Dewatering, Gulf Coast</c:v>
                </c:pt>
                <c:pt idx="1">
                  <c:v>Dewatering, North Dakota</c:v>
                </c:pt>
                <c:pt idx="2">
                  <c:v>Subsidence-related drainage</c:v>
                </c:pt>
                <c:pt idx="3">
                  <c:v>Revegetation</c:v>
                </c:pt>
                <c:pt idx="6">
                  <c:v>Power plant cooling</c:v>
                </c:pt>
                <c:pt idx="9">
                  <c:v>Ash handling</c:v>
                </c:pt>
                <c:pt idx="10">
                  <c:v>Sulfur scrubbing</c:v>
                </c:pt>
                <c:pt idx="13">
                  <c:v>Combustion</c:v>
                </c:pt>
              </c:strCache>
            </c:strRef>
          </c:cat>
          <c:val>
            <c:numRef>
              <c:f>'Lignite Coal'!$O$15:$O$28</c:f>
              <c:numCache>
                <c:formatCode>0.0E+00</c:formatCode>
                <c:ptCount val="14"/>
                <c:pt idx="0">
                  <c:v>32761544.206854895</c:v>
                </c:pt>
                <c:pt idx="1">
                  <c:v>457937.0063982</c:v>
                </c:pt>
                <c:pt idx="3" formatCode="0">
                  <c:v>0</c:v>
                </c:pt>
                <c:pt idx="6">
                  <c:v>6450229847.2601929</c:v>
                </c:pt>
                <c:pt idx="9">
                  <c:v>4180005.0685660052</c:v>
                </c:pt>
                <c:pt idx="10" formatCode="0">
                  <c:v>0</c:v>
                </c:pt>
                <c:pt idx="13">
                  <c:v>-22966689.002292536</c:v>
                </c:pt>
              </c:numCache>
            </c:numRef>
          </c:val>
          <c:extLst>
            <c:ext xmlns:c16="http://schemas.microsoft.com/office/drawing/2014/chart" uri="{C3380CC4-5D6E-409C-BE32-E72D297353CC}">
              <c16:uniqueId val="{00000000-6C61-B248-AC36-C3CAD5052B82}"/>
            </c:ext>
          </c:extLst>
        </c:ser>
        <c:dLbls>
          <c:showLegendKey val="0"/>
          <c:showVal val="0"/>
          <c:showCatName val="0"/>
          <c:showSerName val="0"/>
          <c:showPercent val="0"/>
          <c:showBubbleSize val="0"/>
        </c:dLbls>
        <c:gapWidth val="0"/>
        <c:axId val="70168064"/>
        <c:axId val="70170384"/>
      </c:barChart>
      <c:catAx>
        <c:axId val="7016806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70170384"/>
        <c:crosses val="autoZero"/>
        <c:auto val="1"/>
        <c:lblAlgn val="ctr"/>
        <c:lblOffset val="0"/>
        <c:noMultiLvlLbl val="0"/>
      </c:catAx>
      <c:valAx>
        <c:axId val="70170384"/>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70168064"/>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'Lignite Coal'!$K$13</c:f>
              <c:numCache>
                <c:formatCode>0%</c:formatCode>
                <c:ptCount val="1"/>
                <c:pt idx="0">
                  <c:v>0.29059464196212537</c:v>
                </c:pt>
              </c:numCache>
            </c:numRef>
          </c:val>
          <c:extLst>
            <c:ext xmlns:c16="http://schemas.microsoft.com/office/drawing/2014/chart" uri="{C3380CC4-5D6E-409C-BE32-E72D297353CC}">
              <c16:uniqueId val="{00000000-2A29-BC4D-827B-DEA8493C5EF8}"/>
            </c:ext>
          </c:extLst>
        </c:ser>
        <c:ser>
          <c:idx val="0"/>
          <c:order val="1"/>
          <c:tx>
            <c:v>Surface</c:v>
          </c:tx>
          <c:spPr>
            <a:solidFill>
              <a:srgbClr val="335C89"/>
            </a:solidFill>
            <a:ln w="19050">
              <a:solidFill>
                <a:schemeClr val="lt1"/>
              </a:solidFill>
            </a:ln>
            <a:effectLst/>
          </c:spPr>
          <c:invertIfNegative val="0"/>
          <c:val>
            <c:numRef>
              <c:f>'Lignite Coal'!$L$13</c:f>
              <c:numCache>
                <c:formatCode>0%</c:formatCode>
                <c:ptCount val="1"/>
                <c:pt idx="0">
                  <c:v>0.70904295824879948</c:v>
                </c:pt>
              </c:numCache>
            </c:numRef>
          </c:val>
          <c:extLst>
            <c:ext xmlns:c16="http://schemas.microsoft.com/office/drawing/2014/chart" uri="{C3380CC4-5D6E-409C-BE32-E72D297353CC}">
              <c16:uniqueId val="{00000001-2A29-BC4D-827B-DEA8493C5EF8}"/>
            </c:ext>
          </c:extLst>
        </c:ser>
        <c:ser>
          <c:idx val="2"/>
          <c:order val="2"/>
          <c:tx>
            <c:v>Reuse</c:v>
          </c:tx>
          <c:spPr>
            <a:solidFill>
              <a:srgbClr val="19416C"/>
            </a:solidFill>
            <a:ln w="19050">
              <a:solidFill>
                <a:schemeClr val="lt1"/>
              </a:solidFill>
            </a:ln>
            <a:effectLst/>
          </c:spPr>
          <c:invertIfNegative val="0"/>
          <c:val>
            <c:numRef>
              <c:f>'Lignite Coal'!$M$13</c:f>
              <c:numCache>
                <c:formatCode>0%</c:formatCode>
                <c:ptCount val="1"/>
                <c:pt idx="0">
                  <c:v>3.6239978907522396E-4</c:v>
                </c:pt>
              </c:numCache>
            </c:numRef>
          </c:val>
          <c:extLst>
            <c:ext xmlns:c16="http://schemas.microsoft.com/office/drawing/2014/chart" uri="{C3380CC4-5D6E-409C-BE32-E72D297353CC}">
              <c16:uniqueId val="{00000002-2A29-BC4D-827B-DEA8493C5EF8}"/>
            </c:ext>
          </c:extLst>
        </c:ser>
        <c:dLbls>
          <c:showLegendKey val="0"/>
          <c:showVal val="0"/>
          <c:showCatName val="0"/>
          <c:showSerName val="0"/>
          <c:showPercent val="0"/>
          <c:showBubbleSize val="0"/>
        </c:dLbls>
        <c:gapWidth val="0"/>
        <c:overlap val="100"/>
        <c:axId val="-31684208"/>
        <c:axId val="-31686528"/>
      </c:barChart>
      <c:valAx>
        <c:axId val="-31686528"/>
        <c:scaling>
          <c:orientation val="minMax"/>
        </c:scaling>
        <c:delete val="1"/>
        <c:axPos val="b"/>
        <c:numFmt formatCode="0%" sourceLinked="1"/>
        <c:majorTickMark val="out"/>
        <c:minorTickMark val="none"/>
        <c:tickLblPos val="nextTo"/>
        <c:crossAx val="-31684208"/>
        <c:crosses val="autoZero"/>
        <c:crossBetween val="between"/>
      </c:valAx>
      <c:catAx>
        <c:axId val="-31684208"/>
        <c:scaling>
          <c:orientation val="minMax"/>
        </c:scaling>
        <c:delete val="1"/>
        <c:axPos val="l"/>
        <c:majorTickMark val="out"/>
        <c:minorTickMark val="none"/>
        <c:tickLblPos val="nextTo"/>
        <c:crossAx val="-3168652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12950600801103E-2"/>
          <c:y val="0.44750070303711997"/>
          <c:w val="0.93057409879839803"/>
          <c:h val="0.423731721034871"/>
        </c:manualLayout>
      </c:layout>
      <c:barChart>
        <c:barDir val="bar"/>
        <c:grouping val="stacked"/>
        <c:varyColors val="0"/>
        <c:ser>
          <c:idx val="0"/>
          <c:order val="0"/>
          <c:tx>
            <c:v>Consumption</c:v>
          </c:tx>
          <c:spPr>
            <a:solidFill>
              <a:schemeClr val="tx1"/>
            </a:solidFill>
            <a:ln>
              <a:noFill/>
            </a:ln>
            <a:effectLst/>
          </c:spPr>
          <c:invertIfNegative val="0"/>
          <c:cat>
            <c:strRef>
              <c:f>'Intensity Summary'!$B$4:$B$6</c:f>
              <c:strCache>
                <c:ptCount val="3"/>
                <c:pt idx="0">
                  <c:v>Ground</c:v>
                </c:pt>
                <c:pt idx="1">
                  <c:v>Surface</c:v>
                </c:pt>
                <c:pt idx="2">
                  <c:v>Reuse</c:v>
                </c:pt>
              </c:strCache>
            </c:strRef>
          </c:cat>
          <c:val>
            <c:numRef>
              <c:f>'Intensity Summary'!$C$4:$C$6</c:f>
              <c:numCache>
                <c:formatCode>0.0E+00</c:formatCode>
                <c:ptCount val="3"/>
                <c:pt idx="0">
                  <c:v>0.11945355579617642</c:v>
                </c:pt>
                <c:pt idx="1">
                  <c:v>0.10573309417968332</c:v>
                </c:pt>
                <c:pt idx="2">
                  <c:v>4.4343553648815235E-3</c:v>
                </c:pt>
              </c:numCache>
            </c:numRef>
          </c:val>
          <c:extLst>
            <c:ext xmlns:c16="http://schemas.microsoft.com/office/drawing/2014/chart" uri="{C3380CC4-5D6E-409C-BE32-E72D297353CC}">
              <c16:uniqueId val="{00000000-4BCD-F541-9508-E3CAF09B09CE}"/>
            </c:ext>
          </c:extLst>
        </c:ser>
        <c:ser>
          <c:idx val="1"/>
          <c:order val="1"/>
          <c:tx>
            <c:v>Return flow</c:v>
          </c:tx>
          <c:spPr>
            <a:solidFill>
              <a:schemeClr val="bg1">
                <a:lumMod val="75000"/>
              </a:schemeClr>
            </a:solidFill>
            <a:ln>
              <a:noFill/>
            </a:ln>
            <a:effectLst/>
          </c:spPr>
          <c:invertIfNegative val="0"/>
          <c:cat>
            <c:strRef>
              <c:f>'Intensity Summary'!$B$4:$B$6</c:f>
              <c:strCache>
                <c:ptCount val="3"/>
                <c:pt idx="0">
                  <c:v>Ground</c:v>
                </c:pt>
                <c:pt idx="1">
                  <c:v>Surface</c:v>
                </c:pt>
                <c:pt idx="2">
                  <c:v>Reuse</c:v>
                </c:pt>
              </c:strCache>
            </c:strRef>
          </c:cat>
          <c:val>
            <c:numRef>
              <c:f>'Intensity Summary'!$E$4:$E$6</c:f>
              <c:numCache>
                <c:formatCode>0.0E+00</c:formatCode>
                <c:ptCount val="3"/>
                <c:pt idx="0">
                  <c:v>5.029775934955924E-2</c:v>
                </c:pt>
                <c:pt idx="1">
                  <c:v>2.7784722414062526</c:v>
                </c:pt>
                <c:pt idx="2">
                  <c:v>1.8801525828850536E-2</c:v>
                </c:pt>
              </c:numCache>
            </c:numRef>
          </c:val>
          <c:extLst>
            <c:ext xmlns:c16="http://schemas.microsoft.com/office/drawing/2014/chart" uri="{C3380CC4-5D6E-409C-BE32-E72D297353CC}">
              <c16:uniqueId val="{00000001-4BCD-F541-9508-E3CAF09B09CE}"/>
            </c:ext>
          </c:extLst>
        </c:ser>
        <c:dLbls>
          <c:showLegendKey val="0"/>
          <c:showVal val="0"/>
          <c:showCatName val="0"/>
          <c:showSerName val="0"/>
          <c:showPercent val="0"/>
          <c:showBubbleSize val="0"/>
        </c:dLbls>
        <c:gapWidth val="9"/>
        <c:overlap val="100"/>
        <c:axId val="69360640"/>
        <c:axId val="69473200"/>
      </c:barChart>
      <c:catAx>
        <c:axId val="69360640"/>
        <c:scaling>
          <c:orientation val="maxMin"/>
        </c:scaling>
        <c:delete val="1"/>
        <c:axPos val="l"/>
        <c:numFmt formatCode="General" sourceLinked="1"/>
        <c:majorTickMark val="none"/>
        <c:minorTickMark val="none"/>
        <c:tickLblPos val="nextTo"/>
        <c:crossAx val="69473200"/>
        <c:crosses val="autoZero"/>
        <c:auto val="1"/>
        <c:lblAlgn val="ctr"/>
        <c:lblOffset val="100"/>
        <c:noMultiLvlLbl val="0"/>
      </c:catAx>
      <c:valAx>
        <c:axId val="69473200"/>
        <c:scaling>
          <c:orientation val="minMax"/>
          <c:max val="30"/>
        </c:scaling>
        <c:delete val="1"/>
        <c:axPos val="t"/>
        <c:numFmt formatCode="0.0E+00" sourceLinked="0"/>
        <c:majorTickMark val="out"/>
        <c:minorTickMark val="none"/>
        <c:tickLblPos val="nextTo"/>
        <c:crossAx val="69360640"/>
        <c:crosses val="autoZero"/>
        <c:crossBetween val="between"/>
      </c:valAx>
      <c:spPr>
        <a:noFill/>
        <a:ln>
          <a:noFill/>
        </a:ln>
        <a:effectLst/>
      </c:spPr>
    </c:plotArea>
    <c:legend>
      <c:legendPos val="t"/>
      <c:layout>
        <c:manualLayout>
          <c:xMode val="edge"/>
          <c:yMode val="edge"/>
          <c:x val="9.8077857090293596E-2"/>
          <c:y val="7.5471698113207503E-2"/>
          <c:w val="0.63561998675399201"/>
          <c:h val="0.1780671519833610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8492-474C-804A-541F8AC9954E}"/>
              </c:ext>
            </c:extLst>
          </c:dPt>
          <c:val>
            <c:numRef>
              <c:f>'Lignite Coal'!$F$13</c:f>
              <c:numCache>
                <c:formatCode>0%</c:formatCode>
                <c:ptCount val="1"/>
                <c:pt idx="0">
                  <c:v>0.97147101407676739</c:v>
                </c:pt>
              </c:numCache>
            </c:numRef>
          </c:val>
          <c:extLst>
            <c:ext xmlns:c16="http://schemas.microsoft.com/office/drawing/2014/chart" uri="{C3380CC4-5D6E-409C-BE32-E72D297353CC}">
              <c16:uniqueId val="{00000002-8492-474C-804A-541F8AC9954E}"/>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8492-474C-804A-541F8AC9954E}"/>
              </c:ext>
            </c:extLst>
          </c:dPt>
          <c:val>
            <c:numRef>
              <c:f>'Lignite Coal'!$G$13</c:f>
              <c:numCache>
                <c:formatCode>0%</c:formatCode>
                <c:ptCount val="1"/>
                <c:pt idx="0">
                  <c:v>0</c:v>
                </c:pt>
              </c:numCache>
            </c:numRef>
          </c:val>
          <c:extLst>
            <c:ext xmlns:c16="http://schemas.microsoft.com/office/drawing/2014/chart" uri="{C3380CC4-5D6E-409C-BE32-E72D297353CC}">
              <c16:uniqueId val="{00000005-8492-474C-804A-541F8AC9954E}"/>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8492-474C-804A-541F8AC9954E}"/>
              </c:ext>
            </c:extLst>
          </c:dPt>
          <c:val>
            <c:numRef>
              <c:f>'Lignite Coal'!$H$13</c:f>
              <c:numCache>
                <c:formatCode>0%</c:formatCode>
                <c:ptCount val="1"/>
                <c:pt idx="0">
                  <c:v>2.8528985923232643E-2</c:v>
                </c:pt>
              </c:numCache>
            </c:numRef>
          </c:val>
          <c:extLst>
            <c:ext xmlns:c16="http://schemas.microsoft.com/office/drawing/2014/chart" uri="{C3380CC4-5D6E-409C-BE32-E72D297353CC}">
              <c16:uniqueId val="{00000008-8492-474C-804A-541F8AC9954E}"/>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8492-474C-804A-541F8AC9954E}"/>
              </c:ext>
            </c:extLst>
          </c:dPt>
          <c:val>
            <c:numRef>
              <c:f>'Lignite Coal'!$I$13</c:f>
              <c:numCache>
                <c:formatCode>0%</c:formatCode>
                <c:ptCount val="1"/>
                <c:pt idx="0">
                  <c:v>0</c:v>
                </c:pt>
              </c:numCache>
            </c:numRef>
          </c:val>
          <c:extLst>
            <c:ext xmlns:c16="http://schemas.microsoft.com/office/drawing/2014/chart" uri="{C3380CC4-5D6E-409C-BE32-E72D297353CC}">
              <c16:uniqueId val="{0000000B-8492-474C-804A-541F8AC9954E}"/>
            </c:ext>
          </c:extLst>
        </c:ser>
        <c:dLbls>
          <c:showLegendKey val="0"/>
          <c:showVal val="0"/>
          <c:showCatName val="0"/>
          <c:showSerName val="0"/>
          <c:showPercent val="0"/>
          <c:showBubbleSize val="0"/>
        </c:dLbls>
        <c:gapWidth val="0"/>
        <c:overlap val="100"/>
        <c:axId val="39365680"/>
        <c:axId val="39362848"/>
      </c:barChart>
      <c:valAx>
        <c:axId val="39362848"/>
        <c:scaling>
          <c:orientation val="minMax"/>
          <c:min val="0"/>
        </c:scaling>
        <c:delete val="1"/>
        <c:axPos val="b"/>
        <c:numFmt formatCode="0%" sourceLinked="1"/>
        <c:majorTickMark val="out"/>
        <c:minorTickMark val="none"/>
        <c:tickLblPos val="nextTo"/>
        <c:crossAx val="39365680"/>
        <c:crosses val="autoZero"/>
        <c:crossBetween val="between"/>
      </c:valAx>
      <c:catAx>
        <c:axId val="39365680"/>
        <c:scaling>
          <c:orientation val="minMax"/>
        </c:scaling>
        <c:delete val="1"/>
        <c:axPos val="l"/>
        <c:majorTickMark val="out"/>
        <c:minorTickMark val="none"/>
        <c:tickLblPos val="nextTo"/>
        <c:crossAx val="3936284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'Lignite Coal'!$W$13</c:f>
              <c:numCache>
                <c:formatCode>0%</c:formatCode>
                <c:ptCount val="1"/>
                <c:pt idx="0">
                  <c:v>7.3479795869862505E-3</c:v>
                </c:pt>
              </c:numCache>
            </c:numRef>
          </c:val>
          <c:extLst>
            <c:ext xmlns:c16="http://schemas.microsoft.com/office/drawing/2014/chart" uri="{C3380CC4-5D6E-409C-BE32-E72D297353CC}">
              <c16:uniqueId val="{00000000-5BCF-0D4F-BC31-433953AE40EA}"/>
            </c:ext>
          </c:extLst>
        </c:ser>
        <c:ser>
          <c:idx val="0"/>
          <c:order val="1"/>
          <c:tx>
            <c:v>Surface</c:v>
          </c:tx>
          <c:spPr>
            <a:solidFill>
              <a:srgbClr val="335C89"/>
            </a:solidFill>
            <a:ln w="19050">
              <a:solidFill>
                <a:schemeClr val="lt1"/>
              </a:solidFill>
            </a:ln>
            <a:effectLst/>
          </c:spPr>
          <c:invertIfNegative val="0"/>
          <c:val>
            <c:numRef>
              <c:f>'Lignite Coal'!$X$13</c:f>
              <c:numCache>
                <c:formatCode>0%</c:formatCode>
                <c:ptCount val="1"/>
                <c:pt idx="0">
                  <c:v>0.99264218053186881</c:v>
                </c:pt>
              </c:numCache>
            </c:numRef>
          </c:val>
          <c:extLst>
            <c:ext xmlns:c16="http://schemas.microsoft.com/office/drawing/2014/chart" uri="{C3380CC4-5D6E-409C-BE32-E72D297353CC}">
              <c16:uniqueId val="{00000001-5BCF-0D4F-BC31-433953AE40EA}"/>
            </c:ext>
          </c:extLst>
        </c:ser>
        <c:ser>
          <c:idx val="2"/>
          <c:order val="2"/>
          <c:tx>
            <c:v>Reuse</c:v>
          </c:tx>
          <c:spPr>
            <a:solidFill>
              <a:srgbClr val="19416C"/>
            </a:solidFill>
            <a:ln w="19050">
              <a:solidFill>
                <a:schemeClr val="lt1"/>
              </a:solidFill>
            </a:ln>
            <a:effectLst/>
          </c:spPr>
          <c:invertIfNegative val="0"/>
          <c:val>
            <c:numRef>
              <c:f>'Lignite Coal'!$Y$13</c:f>
              <c:numCache>
                <c:formatCode>0%</c:formatCode>
                <c:ptCount val="1"/>
                <c:pt idx="0">
                  <c:v>9.8398811448994666E-6</c:v>
                </c:pt>
              </c:numCache>
            </c:numRef>
          </c:val>
          <c:extLst>
            <c:ext xmlns:c16="http://schemas.microsoft.com/office/drawing/2014/chart" uri="{C3380CC4-5D6E-409C-BE32-E72D297353CC}">
              <c16:uniqueId val="{00000002-5BCF-0D4F-BC31-433953AE40EA}"/>
            </c:ext>
          </c:extLst>
        </c:ser>
        <c:dLbls>
          <c:showLegendKey val="0"/>
          <c:showVal val="0"/>
          <c:showCatName val="0"/>
          <c:showSerName val="0"/>
          <c:showPercent val="0"/>
          <c:showBubbleSize val="0"/>
        </c:dLbls>
        <c:gapWidth val="0"/>
        <c:overlap val="100"/>
        <c:axId val="39398944"/>
        <c:axId val="39396624"/>
      </c:barChart>
      <c:valAx>
        <c:axId val="39396624"/>
        <c:scaling>
          <c:orientation val="minMax"/>
          <c:min val="0"/>
        </c:scaling>
        <c:delete val="1"/>
        <c:axPos val="b"/>
        <c:numFmt formatCode="0%" sourceLinked="0"/>
        <c:majorTickMark val="out"/>
        <c:minorTickMark val="none"/>
        <c:tickLblPos val="nextTo"/>
        <c:crossAx val="39398944"/>
        <c:crosses val="autoZero"/>
        <c:crossBetween val="between"/>
      </c:valAx>
      <c:catAx>
        <c:axId val="39398944"/>
        <c:scaling>
          <c:orientation val="minMax"/>
        </c:scaling>
        <c:delete val="1"/>
        <c:axPos val="l"/>
        <c:majorTickMark val="out"/>
        <c:minorTickMark val="none"/>
        <c:tickLblPos val="nextTo"/>
        <c:crossAx val="3939662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'Lignite Coal'!$R$13</c:f>
              <c:numCache>
                <c:formatCode>0%</c:formatCode>
                <c:ptCount val="1"/>
                <c:pt idx="0">
                  <c:v>0.99922572983361269</c:v>
                </c:pt>
              </c:numCache>
            </c:numRef>
          </c:val>
          <c:extLst>
            <c:ext xmlns:c16="http://schemas.microsoft.com/office/drawing/2014/chart" uri="{C3380CC4-5D6E-409C-BE32-E72D297353CC}">
              <c16:uniqueId val="{00000000-AE62-B447-96B7-495CBC080741}"/>
            </c:ext>
          </c:extLst>
        </c:ser>
        <c:ser>
          <c:idx val="1"/>
          <c:order val="1"/>
          <c:tx>
            <c:v>Brackish</c:v>
          </c:tx>
          <c:spPr>
            <a:solidFill>
              <a:srgbClr val="98D862"/>
            </a:solidFill>
            <a:ln w="19050">
              <a:solidFill>
                <a:schemeClr val="lt1"/>
              </a:solidFill>
            </a:ln>
            <a:effectLst/>
          </c:spPr>
          <c:invertIfNegative val="0"/>
          <c:val>
            <c:numRef>
              <c:f>'Lignite Coal'!$S$13</c:f>
              <c:numCache>
                <c:formatCode>0%</c:formatCode>
                <c:ptCount val="1"/>
                <c:pt idx="0">
                  <c:v>0</c:v>
                </c:pt>
              </c:numCache>
            </c:numRef>
          </c:val>
          <c:extLst>
            <c:ext xmlns:c16="http://schemas.microsoft.com/office/drawing/2014/chart" uri="{C3380CC4-5D6E-409C-BE32-E72D297353CC}">
              <c16:uniqueId val="{00000001-AE62-B447-96B7-495CBC080741}"/>
            </c:ext>
          </c:extLst>
        </c:ser>
        <c:ser>
          <c:idx val="2"/>
          <c:order val="2"/>
          <c:tx>
            <c:v>Saline</c:v>
          </c:tx>
          <c:spPr>
            <a:solidFill>
              <a:srgbClr val="6EB739"/>
            </a:solidFill>
            <a:ln w="19050">
              <a:solidFill>
                <a:schemeClr val="lt1"/>
              </a:solidFill>
            </a:ln>
            <a:effectLst/>
          </c:spPr>
          <c:invertIfNegative val="0"/>
          <c:val>
            <c:numRef>
              <c:f>'Lignite Coal'!$T$13</c:f>
              <c:numCache>
                <c:formatCode>0%</c:formatCode>
                <c:ptCount val="1"/>
                <c:pt idx="0">
                  <c:v>7.7427016638731405E-4</c:v>
                </c:pt>
              </c:numCache>
            </c:numRef>
          </c:val>
          <c:extLst>
            <c:ext xmlns:c16="http://schemas.microsoft.com/office/drawing/2014/chart" uri="{C3380CC4-5D6E-409C-BE32-E72D297353CC}">
              <c16:uniqueId val="{00000002-AE62-B447-96B7-495CBC080741}"/>
            </c:ext>
          </c:extLst>
        </c:ser>
        <c:ser>
          <c:idx val="3"/>
          <c:order val="3"/>
          <c:tx>
            <c:v>Not RO</c:v>
          </c:tx>
          <c:spPr>
            <a:solidFill>
              <a:srgbClr val="5A9D2C"/>
            </a:solidFill>
            <a:ln w="19050">
              <a:solidFill>
                <a:schemeClr val="lt1"/>
              </a:solidFill>
            </a:ln>
            <a:effectLst/>
          </c:spPr>
          <c:invertIfNegative val="0"/>
          <c:val>
            <c:numRef>
              <c:f>'Lignite Coal'!$U$13</c:f>
              <c:numCache>
                <c:formatCode>0%</c:formatCode>
                <c:ptCount val="1"/>
                <c:pt idx="0">
                  <c:v>0</c:v>
                </c:pt>
              </c:numCache>
            </c:numRef>
          </c:val>
          <c:extLst>
            <c:ext xmlns:c16="http://schemas.microsoft.com/office/drawing/2014/chart" uri="{C3380CC4-5D6E-409C-BE32-E72D297353CC}">
              <c16:uniqueId val="{00000003-AE62-B447-96B7-495CBC080741}"/>
            </c:ext>
          </c:extLst>
        </c:ser>
        <c:dLbls>
          <c:showLegendKey val="0"/>
          <c:showVal val="0"/>
          <c:showCatName val="0"/>
          <c:showSerName val="0"/>
          <c:showPercent val="0"/>
          <c:showBubbleSize val="0"/>
        </c:dLbls>
        <c:gapWidth val="0"/>
        <c:overlap val="100"/>
        <c:axId val="-31654576"/>
        <c:axId val="-31657408"/>
      </c:barChart>
      <c:valAx>
        <c:axId val="-31657408"/>
        <c:scaling>
          <c:orientation val="minMax"/>
          <c:min val="0"/>
        </c:scaling>
        <c:delete val="1"/>
        <c:axPos val="b"/>
        <c:numFmt formatCode="0%" sourceLinked="0"/>
        <c:majorTickMark val="out"/>
        <c:minorTickMark val="none"/>
        <c:tickLblPos val="nextTo"/>
        <c:crossAx val="-31654576"/>
        <c:crosses val="autoZero"/>
        <c:crossBetween val="between"/>
      </c:valAx>
      <c:catAx>
        <c:axId val="-31654576"/>
        <c:scaling>
          <c:orientation val="minMax"/>
        </c:scaling>
        <c:delete val="1"/>
        <c:axPos val="l"/>
        <c:majorTickMark val="out"/>
        <c:minorTickMark val="none"/>
        <c:tickLblPos val="nextTo"/>
        <c:crossAx val="-3165740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('Natural Gas'!$B$15:$B$17,'Natural Gas'!$B$23:$B$39)</c:f>
              <c:strCache>
                <c:ptCount val="20"/>
                <c:pt idx="0">
                  <c:v>Drilling</c:v>
                </c:pt>
                <c:pt idx="1">
                  <c:v>Hydraulic fracturing</c:v>
                </c:pt>
                <c:pt idx="2">
                  <c:v>Produced water total</c:v>
                </c:pt>
                <c:pt idx="3">
                  <c:v>Dehydration</c:v>
                </c:pt>
                <c:pt idx="4">
                  <c:v>Acid gas removal: H2S</c:v>
                </c:pt>
                <c:pt idx="5">
                  <c:v>Acid gas removal: CO2</c:v>
                </c:pt>
                <c:pt idx="6">
                  <c:v>Liquefaction for LNG</c:v>
                </c:pt>
                <c:pt idx="7">
                  <c:v>LNG regasification</c:v>
                </c:pt>
                <c:pt idx="10">
                  <c:v>Hydrostatic pipeline tests</c:v>
                </c:pt>
                <c:pt idx="11">
                  <c:v>Salt cavern storage</c:v>
                </c:pt>
                <c:pt idx="12">
                  <c:v>LNG ship ballast</c:v>
                </c:pt>
                <c:pt idx="13">
                  <c:v>In-port LNG export ship cooling</c:v>
                </c:pt>
                <c:pt idx="16">
                  <c:v>Power plant cooling</c:v>
                </c:pt>
                <c:pt idx="19">
                  <c:v>Combustion</c:v>
                </c:pt>
              </c:strCache>
            </c:strRef>
          </c:cat>
          <c:val>
            <c:numRef>
              <c:f>('Natural Gas'!$C$15:$C$17,'Natural Gas'!$C$23:$C$39)</c:f>
              <c:numCache>
                <c:formatCode>0.0E+00</c:formatCode>
                <c:ptCount val="20"/>
                <c:pt idx="0">
                  <c:v>23169546.1305</c:v>
                </c:pt>
                <c:pt idx="1">
                  <c:v>214153846.15384617</c:v>
                </c:pt>
                <c:pt idx="2">
                  <c:v>320388241.77198184</c:v>
                </c:pt>
                <c:pt idx="3">
                  <c:v>12436319.961677775</c:v>
                </c:pt>
                <c:pt idx="4">
                  <c:v>780000</c:v>
                </c:pt>
                <c:pt idx="5">
                  <c:v>47286000</c:v>
                </c:pt>
                <c:pt idx="6">
                  <c:v>221490.49774844857</c:v>
                </c:pt>
                <c:pt idx="7">
                  <c:v>22277.754134744628</c:v>
                </c:pt>
                <c:pt idx="10" formatCode="0">
                  <c:v>0</c:v>
                </c:pt>
                <c:pt idx="11">
                  <c:v>112549596.83352</c:v>
                </c:pt>
                <c:pt idx="12">
                  <c:v>7572.6468449624335</c:v>
                </c:pt>
                <c:pt idx="13" formatCode="0">
                  <c:v>0</c:v>
                </c:pt>
                <c:pt idx="16">
                  <c:v>945979087.69662356</c:v>
                </c:pt>
                <c:pt idx="19">
                  <c:v>-1079059705.3329904</c:v>
                </c:pt>
              </c:numCache>
            </c:numRef>
          </c:val>
          <c:extLst>
            <c:ext xmlns:c16="http://schemas.microsoft.com/office/drawing/2014/chart" uri="{C3380CC4-5D6E-409C-BE32-E72D297353CC}">
              <c16:uniqueId val="{00000000-618C-CA43-9E85-DB66BE54A033}"/>
            </c:ext>
          </c:extLst>
        </c:ser>
        <c:dLbls>
          <c:showLegendKey val="0"/>
          <c:showVal val="0"/>
          <c:showCatName val="0"/>
          <c:showSerName val="0"/>
          <c:showPercent val="0"/>
          <c:showBubbleSize val="0"/>
        </c:dLbls>
        <c:gapWidth val="0"/>
        <c:axId val="-31627296"/>
        <c:axId val="-31624976"/>
      </c:barChart>
      <c:catAx>
        <c:axId val="-3162729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624976"/>
        <c:crosses val="autoZero"/>
        <c:auto val="1"/>
        <c:lblAlgn val="ctr"/>
        <c:lblOffset val="0"/>
        <c:noMultiLvlLbl val="0"/>
      </c:catAx>
      <c:valAx>
        <c:axId val="-31624976"/>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627296"/>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58508311461103"/>
          <c:y val="6.8733960338291003E-2"/>
          <c:w val="0.60333355205599304"/>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('Natural Gas'!$B$15:$B$17,'Natural Gas'!$B$23:$B$39)</c:f>
              <c:strCache>
                <c:ptCount val="20"/>
                <c:pt idx="0">
                  <c:v>Drilling</c:v>
                </c:pt>
                <c:pt idx="1">
                  <c:v>Hydraulic fracturing</c:v>
                </c:pt>
                <c:pt idx="2">
                  <c:v>Produced water total</c:v>
                </c:pt>
                <c:pt idx="3">
                  <c:v>Dehydration</c:v>
                </c:pt>
                <c:pt idx="4">
                  <c:v>Acid gas removal: H2S</c:v>
                </c:pt>
                <c:pt idx="5">
                  <c:v>Acid gas removal: CO2</c:v>
                </c:pt>
                <c:pt idx="6">
                  <c:v>Liquefaction for LNG</c:v>
                </c:pt>
                <c:pt idx="7">
                  <c:v>LNG regasification</c:v>
                </c:pt>
                <c:pt idx="10">
                  <c:v>Hydrostatic pipeline tests</c:v>
                </c:pt>
                <c:pt idx="11">
                  <c:v>Salt cavern storage</c:v>
                </c:pt>
                <c:pt idx="12">
                  <c:v>LNG ship ballast</c:v>
                </c:pt>
                <c:pt idx="13">
                  <c:v>In-port LNG export ship cooling</c:v>
                </c:pt>
                <c:pt idx="16">
                  <c:v>Power plant cooling</c:v>
                </c:pt>
                <c:pt idx="19">
                  <c:v>Combustion</c:v>
                </c:pt>
              </c:strCache>
            </c:strRef>
          </c:cat>
          <c:val>
            <c:numRef>
              <c:f>('Natural Gas'!$O$15:$O$17,'Natural Gas'!$O$23:$O$39)</c:f>
              <c:numCache>
                <c:formatCode>0.0E+00</c:formatCode>
                <c:ptCount val="20"/>
                <c:pt idx="0">
                  <c:v>21183905.915501192</c:v>
                </c:pt>
                <c:pt idx="1">
                  <c:v>205587692.30769232</c:v>
                </c:pt>
                <c:pt idx="2">
                  <c:v>330940035.83313447</c:v>
                </c:pt>
                <c:pt idx="3">
                  <c:v>12436319.961677775</c:v>
                </c:pt>
                <c:pt idx="4">
                  <c:v>857611.94029850746</c:v>
                </c:pt>
                <c:pt idx="5">
                  <c:v>70929000</c:v>
                </c:pt>
                <c:pt idx="6">
                  <c:v>354384.79639751773</c:v>
                </c:pt>
                <c:pt idx="7">
                  <c:v>22277.754134744628</c:v>
                </c:pt>
                <c:pt idx="10">
                  <c:v>2914765.6999999997</c:v>
                </c:pt>
                <c:pt idx="11">
                  <c:v>112549596.83352</c:v>
                </c:pt>
                <c:pt idx="12">
                  <c:v>7572.6468449624335</c:v>
                </c:pt>
                <c:pt idx="13">
                  <c:v>2076.6841189200049</c:v>
                </c:pt>
                <c:pt idx="16">
                  <c:v>17827138964.348839</c:v>
                </c:pt>
                <c:pt idx="19">
                  <c:v>-1079059705.3329904</c:v>
                </c:pt>
              </c:numCache>
            </c:numRef>
          </c:val>
          <c:extLst>
            <c:ext xmlns:c16="http://schemas.microsoft.com/office/drawing/2014/chart" uri="{C3380CC4-5D6E-409C-BE32-E72D297353CC}">
              <c16:uniqueId val="{00000000-4D81-5347-A224-21E34CFA1A1E}"/>
            </c:ext>
          </c:extLst>
        </c:ser>
        <c:dLbls>
          <c:showLegendKey val="0"/>
          <c:showVal val="0"/>
          <c:showCatName val="0"/>
          <c:showSerName val="0"/>
          <c:showPercent val="0"/>
          <c:showBubbleSize val="0"/>
        </c:dLbls>
        <c:gapWidth val="0"/>
        <c:axId val="-31604800"/>
        <c:axId val="-31602480"/>
      </c:barChart>
      <c:catAx>
        <c:axId val="-3160480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602480"/>
        <c:crosses val="autoZero"/>
        <c:auto val="1"/>
        <c:lblAlgn val="ctr"/>
        <c:lblOffset val="0"/>
        <c:noMultiLvlLbl val="0"/>
      </c:catAx>
      <c:valAx>
        <c:axId val="-31602480"/>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1604800"/>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'Natural Gas'!$K$13</c:f>
              <c:numCache>
                <c:formatCode>0%</c:formatCode>
                <c:ptCount val="1"/>
                <c:pt idx="0">
                  <c:v>0.47109366010839404</c:v>
                </c:pt>
              </c:numCache>
            </c:numRef>
          </c:val>
          <c:extLst>
            <c:ext xmlns:c16="http://schemas.microsoft.com/office/drawing/2014/chart" uri="{C3380CC4-5D6E-409C-BE32-E72D297353CC}">
              <c16:uniqueId val="{00000000-B7E7-114C-9A01-6518CF1E4878}"/>
            </c:ext>
          </c:extLst>
        </c:ser>
        <c:ser>
          <c:idx val="0"/>
          <c:order val="1"/>
          <c:tx>
            <c:v>Surface</c:v>
          </c:tx>
          <c:spPr>
            <a:solidFill>
              <a:srgbClr val="335C89"/>
            </a:solidFill>
            <a:ln w="19050">
              <a:solidFill>
                <a:schemeClr val="lt1"/>
              </a:solidFill>
            </a:ln>
            <a:effectLst/>
          </c:spPr>
          <c:invertIfNegative val="0"/>
          <c:val>
            <c:numRef>
              <c:f>'Natural Gas'!$L$13</c:f>
              <c:numCache>
                <c:formatCode>0%</c:formatCode>
                <c:ptCount val="1"/>
                <c:pt idx="0">
                  <c:v>0.45181946240159665</c:v>
                </c:pt>
              </c:numCache>
            </c:numRef>
          </c:val>
          <c:extLst>
            <c:ext xmlns:c16="http://schemas.microsoft.com/office/drawing/2014/chart" uri="{C3380CC4-5D6E-409C-BE32-E72D297353CC}">
              <c16:uniqueId val="{00000001-B7E7-114C-9A01-6518CF1E4878}"/>
            </c:ext>
          </c:extLst>
        </c:ser>
        <c:ser>
          <c:idx val="2"/>
          <c:order val="2"/>
          <c:tx>
            <c:v>Reuse</c:v>
          </c:tx>
          <c:spPr>
            <a:solidFill>
              <a:srgbClr val="19416C"/>
            </a:solidFill>
            <a:ln w="19050">
              <a:solidFill>
                <a:schemeClr val="lt1"/>
              </a:solidFill>
            </a:ln>
            <a:effectLst/>
          </c:spPr>
          <c:invertIfNegative val="0"/>
          <c:val>
            <c:numRef>
              <c:f>'Natural Gas'!$M$13</c:f>
              <c:numCache>
                <c:formatCode>0%</c:formatCode>
                <c:ptCount val="1"/>
                <c:pt idx="0">
                  <c:v>7.7086877490009337E-2</c:v>
                </c:pt>
              </c:numCache>
            </c:numRef>
          </c:val>
          <c:extLst>
            <c:ext xmlns:c16="http://schemas.microsoft.com/office/drawing/2014/chart" uri="{C3380CC4-5D6E-409C-BE32-E72D297353CC}">
              <c16:uniqueId val="{00000002-B7E7-114C-9A01-6518CF1E4878}"/>
            </c:ext>
          </c:extLst>
        </c:ser>
        <c:dLbls>
          <c:showLegendKey val="0"/>
          <c:showVal val="0"/>
          <c:showCatName val="0"/>
          <c:showSerName val="0"/>
          <c:showPercent val="0"/>
          <c:showBubbleSize val="0"/>
        </c:dLbls>
        <c:gapWidth val="0"/>
        <c:overlap val="100"/>
        <c:axId val="-67646944"/>
        <c:axId val="-67545856"/>
      </c:barChart>
      <c:valAx>
        <c:axId val="-67545856"/>
        <c:scaling>
          <c:orientation val="minMax"/>
        </c:scaling>
        <c:delete val="1"/>
        <c:axPos val="b"/>
        <c:numFmt formatCode="0%" sourceLinked="1"/>
        <c:majorTickMark val="out"/>
        <c:minorTickMark val="none"/>
        <c:tickLblPos val="nextTo"/>
        <c:crossAx val="-67646944"/>
        <c:crosses val="autoZero"/>
        <c:crossBetween val="between"/>
      </c:valAx>
      <c:catAx>
        <c:axId val="-67646944"/>
        <c:scaling>
          <c:orientation val="minMax"/>
        </c:scaling>
        <c:delete val="1"/>
        <c:axPos val="l"/>
        <c:majorTickMark val="out"/>
        <c:minorTickMark val="none"/>
        <c:tickLblPos val="nextTo"/>
        <c:crossAx val="-6754585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057A-BC4B-818A-DD8D33C014DD}"/>
              </c:ext>
            </c:extLst>
          </c:dPt>
          <c:val>
            <c:numRef>
              <c:f>'Natural Gas'!$F$13</c:f>
              <c:numCache>
                <c:formatCode>0%</c:formatCode>
                <c:ptCount val="1"/>
                <c:pt idx="0">
                  <c:v>0.76801262335522635</c:v>
                </c:pt>
              </c:numCache>
            </c:numRef>
          </c:val>
          <c:extLst>
            <c:ext xmlns:c16="http://schemas.microsoft.com/office/drawing/2014/chart" uri="{C3380CC4-5D6E-409C-BE32-E72D297353CC}">
              <c16:uniqueId val="{00000002-057A-BC4B-818A-DD8D33C014DD}"/>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057A-BC4B-818A-DD8D33C014DD}"/>
              </c:ext>
            </c:extLst>
          </c:dPt>
          <c:val>
            <c:numRef>
              <c:f>'Natural Gas'!$G$13</c:f>
              <c:numCache>
                <c:formatCode>0%</c:formatCode>
                <c:ptCount val="1"/>
                <c:pt idx="0">
                  <c:v>5.2621222392640221E-2</c:v>
                </c:pt>
              </c:numCache>
            </c:numRef>
          </c:val>
          <c:extLst>
            <c:ext xmlns:c16="http://schemas.microsoft.com/office/drawing/2014/chart" uri="{C3380CC4-5D6E-409C-BE32-E72D297353CC}">
              <c16:uniqueId val="{00000005-057A-BC4B-818A-DD8D33C014DD}"/>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057A-BC4B-818A-DD8D33C014DD}"/>
              </c:ext>
            </c:extLst>
          </c:dPt>
          <c:val>
            <c:numRef>
              <c:f>'Natural Gas'!$H$13</c:f>
              <c:numCache>
                <c:formatCode>0%</c:formatCode>
                <c:ptCount val="1"/>
                <c:pt idx="0">
                  <c:v>4.186444744833559E-2</c:v>
                </c:pt>
              </c:numCache>
            </c:numRef>
          </c:val>
          <c:extLst>
            <c:ext xmlns:c16="http://schemas.microsoft.com/office/drawing/2014/chart" uri="{C3380CC4-5D6E-409C-BE32-E72D297353CC}">
              <c16:uniqueId val="{00000008-057A-BC4B-818A-DD8D33C014DD}"/>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057A-BC4B-818A-DD8D33C014DD}"/>
              </c:ext>
            </c:extLst>
          </c:dPt>
          <c:val>
            <c:numRef>
              <c:f>'Natural Gas'!$I$13</c:f>
              <c:numCache>
                <c:formatCode>0%</c:formatCode>
                <c:ptCount val="1"/>
                <c:pt idx="0">
                  <c:v>0.13750170680379789</c:v>
                </c:pt>
              </c:numCache>
            </c:numRef>
          </c:val>
          <c:extLst>
            <c:ext xmlns:c16="http://schemas.microsoft.com/office/drawing/2014/chart" uri="{C3380CC4-5D6E-409C-BE32-E72D297353CC}">
              <c16:uniqueId val="{0000000B-057A-BC4B-818A-DD8D33C014DD}"/>
            </c:ext>
          </c:extLst>
        </c:ser>
        <c:dLbls>
          <c:showLegendKey val="0"/>
          <c:showVal val="0"/>
          <c:showCatName val="0"/>
          <c:showSerName val="0"/>
          <c:showPercent val="0"/>
          <c:showBubbleSize val="0"/>
        </c:dLbls>
        <c:gapWidth val="0"/>
        <c:overlap val="100"/>
        <c:axId val="39430752"/>
        <c:axId val="39427920"/>
      </c:barChart>
      <c:valAx>
        <c:axId val="39427920"/>
        <c:scaling>
          <c:orientation val="minMax"/>
        </c:scaling>
        <c:delete val="1"/>
        <c:axPos val="b"/>
        <c:numFmt formatCode="0%" sourceLinked="0"/>
        <c:majorTickMark val="out"/>
        <c:minorTickMark val="none"/>
        <c:tickLblPos val="nextTo"/>
        <c:crossAx val="39430752"/>
        <c:crosses val="autoZero"/>
        <c:crossBetween val="between"/>
      </c:valAx>
      <c:catAx>
        <c:axId val="39430752"/>
        <c:scaling>
          <c:orientation val="minMax"/>
        </c:scaling>
        <c:delete val="1"/>
        <c:axPos val="l"/>
        <c:majorTickMark val="out"/>
        <c:minorTickMark val="none"/>
        <c:tickLblPos val="nextTo"/>
        <c:crossAx val="3942792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'Natural Gas'!$W$13</c:f>
              <c:numCache>
                <c:formatCode>0%</c:formatCode>
                <c:ptCount val="1"/>
                <c:pt idx="0">
                  <c:v>4.7526390557928448E-2</c:v>
                </c:pt>
              </c:numCache>
            </c:numRef>
          </c:val>
          <c:extLst>
            <c:ext xmlns:c16="http://schemas.microsoft.com/office/drawing/2014/chart" uri="{C3380CC4-5D6E-409C-BE32-E72D297353CC}">
              <c16:uniqueId val="{00000000-D759-3A4D-8980-B78DD7799068}"/>
            </c:ext>
          </c:extLst>
        </c:ser>
        <c:ser>
          <c:idx val="0"/>
          <c:order val="1"/>
          <c:tx>
            <c:v>Surface</c:v>
          </c:tx>
          <c:spPr>
            <a:solidFill>
              <a:srgbClr val="335C89"/>
            </a:solidFill>
            <a:ln w="19050">
              <a:solidFill>
                <a:schemeClr val="lt1"/>
              </a:solidFill>
            </a:ln>
            <a:effectLst/>
          </c:spPr>
          <c:invertIfNegative val="0"/>
          <c:val>
            <c:numRef>
              <c:f>'Natural Gas'!$X$13</c:f>
              <c:numCache>
                <c:formatCode>0%</c:formatCode>
                <c:ptCount val="1"/>
                <c:pt idx="0">
                  <c:v>0.93632956868793749</c:v>
                </c:pt>
              </c:numCache>
            </c:numRef>
          </c:val>
          <c:extLst>
            <c:ext xmlns:c16="http://schemas.microsoft.com/office/drawing/2014/chart" uri="{C3380CC4-5D6E-409C-BE32-E72D297353CC}">
              <c16:uniqueId val="{00000001-D759-3A4D-8980-B78DD7799068}"/>
            </c:ext>
          </c:extLst>
        </c:ser>
        <c:ser>
          <c:idx val="2"/>
          <c:order val="2"/>
          <c:tx>
            <c:v>Reuse</c:v>
          </c:tx>
          <c:spPr>
            <a:solidFill>
              <a:srgbClr val="19416C"/>
            </a:solidFill>
            <a:ln w="19050">
              <a:solidFill>
                <a:schemeClr val="lt1"/>
              </a:solidFill>
            </a:ln>
            <a:effectLst/>
          </c:spPr>
          <c:invertIfNegative val="0"/>
          <c:val>
            <c:numRef>
              <c:f>'Natural Gas'!$Y$13</c:f>
              <c:numCache>
                <c:formatCode>0%</c:formatCode>
                <c:ptCount val="1"/>
                <c:pt idx="0">
                  <c:v>1.6144040754134018E-2</c:v>
                </c:pt>
              </c:numCache>
            </c:numRef>
          </c:val>
          <c:extLst>
            <c:ext xmlns:c16="http://schemas.microsoft.com/office/drawing/2014/chart" uri="{C3380CC4-5D6E-409C-BE32-E72D297353CC}">
              <c16:uniqueId val="{00000002-D759-3A4D-8980-B78DD7799068}"/>
            </c:ext>
          </c:extLst>
        </c:ser>
        <c:dLbls>
          <c:showLegendKey val="0"/>
          <c:showVal val="0"/>
          <c:showCatName val="0"/>
          <c:showSerName val="0"/>
          <c:showPercent val="0"/>
          <c:showBubbleSize val="0"/>
        </c:dLbls>
        <c:gapWidth val="0"/>
        <c:overlap val="100"/>
        <c:axId val="39462016"/>
        <c:axId val="39459696"/>
      </c:barChart>
      <c:valAx>
        <c:axId val="39459696"/>
        <c:scaling>
          <c:orientation val="minMax"/>
          <c:min val="0"/>
        </c:scaling>
        <c:delete val="1"/>
        <c:axPos val="b"/>
        <c:numFmt formatCode="0%" sourceLinked="0"/>
        <c:majorTickMark val="out"/>
        <c:minorTickMark val="none"/>
        <c:tickLblPos val="nextTo"/>
        <c:crossAx val="39462016"/>
        <c:crosses val="autoZero"/>
        <c:crossBetween val="between"/>
      </c:valAx>
      <c:catAx>
        <c:axId val="39462016"/>
        <c:scaling>
          <c:orientation val="minMax"/>
        </c:scaling>
        <c:delete val="1"/>
        <c:axPos val="l"/>
        <c:majorTickMark val="out"/>
        <c:minorTickMark val="none"/>
        <c:tickLblPos val="nextTo"/>
        <c:crossAx val="3945969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'Natural Gas'!$R$13</c:f>
              <c:numCache>
                <c:formatCode>0%</c:formatCode>
                <c:ptCount val="1"/>
                <c:pt idx="0">
                  <c:v>0.49991853713412637</c:v>
                </c:pt>
              </c:numCache>
            </c:numRef>
          </c:val>
          <c:extLst>
            <c:ext xmlns:c16="http://schemas.microsoft.com/office/drawing/2014/chart" uri="{C3380CC4-5D6E-409C-BE32-E72D297353CC}">
              <c16:uniqueId val="{00000000-75A2-FF42-87A5-7EACA9C976D9}"/>
            </c:ext>
          </c:extLst>
        </c:ser>
        <c:ser>
          <c:idx val="1"/>
          <c:order val="1"/>
          <c:tx>
            <c:v>Brackish</c:v>
          </c:tx>
          <c:spPr>
            <a:solidFill>
              <a:srgbClr val="98D862"/>
            </a:solidFill>
            <a:ln w="19050">
              <a:solidFill>
                <a:schemeClr val="lt1"/>
              </a:solidFill>
            </a:ln>
            <a:effectLst/>
          </c:spPr>
          <c:invertIfNegative val="0"/>
          <c:val>
            <c:numRef>
              <c:f>'Natural Gas'!$S$13</c:f>
              <c:numCache>
                <c:formatCode>0%</c:formatCode>
                <c:ptCount val="1"/>
                <c:pt idx="0">
                  <c:v>0.22499494489656754</c:v>
                </c:pt>
              </c:numCache>
            </c:numRef>
          </c:val>
          <c:extLst>
            <c:ext xmlns:c16="http://schemas.microsoft.com/office/drawing/2014/chart" uri="{C3380CC4-5D6E-409C-BE32-E72D297353CC}">
              <c16:uniqueId val="{00000001-75A2-FF42-87A5-7EACA9C976D9}"/>
            </c:ext>
          </c:extLst>
        </c:ser>
        <c:ser>
          <c:idx val="2"/>
          <c:order val="2"/>
          <c:tx>
            <c:v>Saline</c:v>
          </c:tx>
          <c:spPr>
            <a:solidFill>
              <a:srgbClr val="6EB739"/>
            </a:solidFill>
            <a:ln w="19050">
              <a:solidFill>
                <a:schemeClr val="lt1"/>
              </a:solidFill>
            </a:ln>
            <a:effectLst/>
          </c:spPr>
          <c:invertIfNegative val="0"/>
          <c:val>
            <c:numRef>
              <c:f>'Natural Gas'!$T$13</c:f>
              <c:numCache>
                <c:formatCode>0%</c:formatCode>
                <c:ptCount val="1"/>
                <c:pt idx="0">
                  <c:v>0.26269183004084917</c:v>
                </c:pt>
              </c:numCache>
            </c:numRef>
          </c:val>
          <c:extLst>
            <c:ext xmlns:c16="http://schemas.microsoft.com/office/drawing/2014/chart" uri="{C3380CC4-5D6E-409C-BE32-E72D297353CC}">
              <c16:uniqueId val="{00000002-75A2-FF42-87A5-7EACA9C976D9}"/>
            </c:ext>
          </c:extLst>
        </c:ser>
        <c:ser>
          <c:idx val="3"/>
          <c:order val="3"/>
          <c:tx>
            <c:v>Not RO</c:v>
          </c:tx>
          <c:spPr>
            <a:solidFill>
              <a:srgbClr val="5A9D2C"/>
            </a:solidFill>
            <a:ln w="19050">
              <a:solidFill>
                <a:schemeClr val="lt1"/>
              </a:solidFill>
            </a:ln>
            <a:effectLst/>
          </c:spPr>
          <c:invertIfNegative val="0"/>
          <c:val>
            <c:numRef>
              <c:f>'Natural Gas'!$U$13</c:f>
              <c:numCache>
                <c:formatCode>0%</c:formatCode>
                <c:ptCount val="1"/>
                <c:pt idx="0">
                  <c:v>1.2394687928456809E-2</c:v>
                </c:pt>
              </c:numCache>
            </c:numRef>
          </c:val>
          <c:extLst>
            <c:ext xmlns:c16="http://schemas.microsoft.com/office/drawing/2014/chart" uri="{C3380CC4-5D6E-409C-BE32-E72D297353CC}">
              <c16:uniqueId val="{00000003-75A2-FF42-87A5-7EACA9C976D9}"/>
            </c:ext>
          </c:extLst>
        </c:ser>
        <c:dLbls>
          <c:showLegendKey val="0"/>
          <c:showVal val="0"/>
          <c:showCatName val="0"/>
          <c:showSerName val="0"/>
          <c:showPercent val="0"/>
          <c:showBubbleSize val="0"/>
        </c:dLbls>
        <c:gapWidth val="0"/>
        <c:overlap val="100"/>
        <c:axId val="70203728"/>
        <c:axId val="70200896"/>
      </c:barChart>
      <c:valAx>
        <c:axId val="70200896"/>
        <c:scaling>
          <c:orientation val="minMax"/>
        </c:scaling>
        <c:delete val="1"/>
        <c:axPos val="b"/>
        <c:numFmt formatCode="0%" sourceLinked="0"/>
        <c:majorTickMark val="out"/>
        <c:minorTickMark val="none"/>
        <c:tickLblPos val="nextTo"/>
        <c:crossAx val="70203728"/>
        <c:crosses val="autoZero"/>
        <c:crossBetween val="between"/>
      </c:valAx>
      <c:catAx>
        <c:axId val="70203728"/>
        <c:scaling>
          <c:orientation val="minMax"/>
        </c:scaling>
        <c:delete val="1"/>
        <c:axPos val="l"/>
        <c:majorTickMark val="out"/>
        <c:minorTickMark val="none"/>
        <c:tickLblPos val="nextTo"/>
        <c:crossAx val="7020089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87729658792603"/>
          <c:y val="6.8733960338291003E-2"/>
          <c:w val="0.60241688538932603"/>
          <c:h val="0.83437518226888296"/>
        </c:manualLayout>
      </c:layout>
      <c:barChart>
        <c:barDir val="bar"/>
        <c:grouping val="clustered"/>
        <c:varyColors val="0"/>
        <c:ser>
          <c:idx val="0"/>
          <c:order val="0"/>
          <c:spPr>
            <a:solidFill>
              <a:schemeClr val="tx1"/>
            </a:solidFill>
            <a:ln>
              <a:noFill/>
            </a:ln>
            <a:effectLst/>
          </c:spPr>
          <c:invertIfNegative val="0"/>
          <c:cat>
            <c:strRef>
              <c:f>'Conventional Natural Gas'!$B$15:$B$35</c:f>
              <c:strCache>
                <c:ptCount val="21"/>
                <c:pt idx="0">
                  <c:v>Drilling</c:v>
                </c:pt>
                <c:pt idx="1">
                  <c:v>Produced water</c:v>
                </c:pt>
                <c:pt idx="4">
                  <c:v>Dehydration</c:v>
                </c:pt>
                <c:pt idx="5">
                  <c:v>Acid gas removal: H2S</c:v>
                </c:pt>
                <c:pt idx="6">
                  <c:v>Acid gas removal: CO2</c:v>
                </c:pt>
                <c:pt idx="7">
                  <c:v>Liquefaction for LNG</c:v>
                </c:pt>
                <c:pt idx="8">
                  <c:v>LNG regasification</c:v>
                </c:pt>
                <c:pt idx="11">
                  <c:v>Hydrostatic pipeline tests</c:v>
                </c:pt>
                <c:pt idx="12">
                  <c:v>Salt cavern storage</c:v>
                </c:pt>
                <c:pt idx="13">
                  <c:v>LNG ship ballast</c:v>
                </c:pt>
                <c:pt idx="14">
                  <c:v>In-port LNG ship cooling</c:v>
                </c:pt>
                <c:pt idx="17">
                  <c:v>Power plant cooling</c:v>
                </c:pt>
                <c:pt idx="20">
                  <c:v>Combustion</c:v>
                </c:pt>
              </c:strCache>
            </c:strRef>
          </c:cat>
          <c:val>
            <c:numRef>
              <c:f>'Conventional Natural Gas'!$C$15:$C$35</c:f>
              <c:numCache>
                <c:formatCode>0.0E+00</c:formatCode>
                <c:ptCount val="21"/>
                <c:pt idx="0">
                  <c:v>11895134.610936837</c:v>
                </c:pt>
                <c:pt idx="1">
                  <c:v>109215351.02580056</c:v>
                </c:pt>
                <c:pt idx="4">
                  <c:v>6384747.4255916988</c:v>
                </c:pt>
                <c:pt idx="5">
                  <c:v>780000</c:v>
                </c:pt>
                <c:pt idx="6">
                  <c:v>24276407.144304346</c:v>
                </c:pt>
                <c:pt idx="7">
                  <c:v>113712.16643268541</c:v>
                </c:pt>
                <c:pt idx="8">
                  <c:v>11437.292848533818</c:v>
                </c:pt>
                <c:pt idx="11" formatCode="0">
                  <c:v>0</c:v>
                </c:pt>
                <c:pt idx="12">
                  <c:v>57782426.863296501</c:v>
                </c:pt>
                <c:pt idx="13">
                  <c:v>3887.760816485636</c:v>
                </c:pt>
                <c:pt idx="14" formatCode="0">
                  <c:v>0</c:v>
                </c:pt>
                <c:pt idx="17">
                  <c:v>485661157.27532077</c:v>
                </c:pt>
                <c:pt idx="20">
                  <c:v>-553984112.41544533</c:v>
                </c:pt>
              </c:numCache>
            </c:numRef>
          </c:val>
          <c:extLst>
            <c:ext xmlns:c16="http://schemas.microsoft.com/office/drawing/2014/chart" uri="{C3380CC4-5D6E-409C-BE32-E72D297353CC}">
              <c16:uniqueId val="{00000000-FC40-324A-9503-ACB08B817300}"/>
            </c:ext>
          </c:extLst>
        </c:ser>
        <c:dLbls>
          <c:showLegendKey val="0"/>
          <c:showVal val="0"/>
          <c:showCatName val="0"/>
          <c:showSerName val="0"/>
          <c:showPercent val="0"/>
          <c:showBubbleSize val="0"/>
        </c:dLbls>
        <c:gapWidth val="0"/>
        <c:axId val="-32301408"/>
        <c:axId val="-32332528"/>
      </c:barChart>
      <c:catAx>
        <c:axId val="-3230140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2332528"/>
        <c:crosses val="autoZero"/>
        <c:auto val="1"/>
        <c:lblAlgn val="ctr"/>
        <c:lblOffset val="0"/>
        <c:noMultiLvlLbl val="0"/>
      </c:catAx>
      <c:valAx>
        <c:axId val="-32332528"/>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2301408"/>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12950600801103E-2"/>
          <c:y val="0.113553149606299"/>
          <c:w val="0.93057409879839803"/>
          <c:h val="0.757325863113265"/>
        </c:manualLayout>
      </c:layout>
      <c:barChart>
        <c:barDir val="bar"/>
        <c:grouping val="stacked"/>
        <c:varyColors val="0"/>
        <c:ser>
          <c:idx val="0"/>
          <c:order val="0"/>
          <c:spPr>
            <a:solidFill>
              <a:schemeClr val="tx1"/>
            </a:solidFill>
            <a:ln>
              <a:noFill/>
            </a:ln>
            <a:effectLst/>
          </c:spPr>
          <c:invertIfNegative val="0"/>
          <c:cat>
            <c:strRef>
              <c:f>'Intensity Summary'!$B$17:$B$21</c:f>
              <c:strCache>
                <c:ptCount val="5"/>
                <c:pt idx="0">
                  <c:v>Production </c:v>
                </c:pt>
                <c:pt idx="1">
                  <c:v>Processing </c:v>
                </c:pt>
                <c:pt idx="2">
                  <c:v>Transport </c:v>
                </c:pt>
                <c:pt idx="3">
                  <c:v>Conversion</c:v>
                </c:pt>
                <c:pt idx="4">
                  <c:v>Post-conversion </c:v>
                </c:pt>
              </c:strCache>
            </c:strRef>
          </c:cat>
          <c:val>
            <c:numRef>
              <c:f>'Intensity Summary'!$C$17:$C$21</c:f>
              <c:numCache>
                <c:formatCode>0.0E+00</c:formatCode>
                <c:ptCount val="5"/>
                <c:pt idx="0">
                  <c:v>0.14481984931638048</c:v>
                </c:pt>
                <c:pt idx="1">
                  <c:v>1.7910930116708354E-3</c:v>
                </c:pt>
                <c:pt idx="2">
                  <c:v>3.2801643351561766E-3</c:v>
                </c:pt>
                <c:pt idx="3">
                  <c:v>7.4510840370906051E-2</c:v>
                </c:pt>
                <c:pt idx="4">
                  <c:v>5.2190583066277245E-3</c:v>
                </c:pt>
              </c:numCache>
            </c:numRef>
          </c:val>
          <c:extLst>
            <c:ext xmlns:c16="http://schemas.microsoft.com/office/drawing/2014/chart" uri="{C3380CC4-5D6E-409C-BE32-E72D297353CC}">
              <c16:uniqueId val="{00000000-7232-9742-B559-3612D9031CFA}"/>
            </c:ext>
          </c:extLst>
        </c:ser>
        <c:ser>
          <c:idx val="1"/>
          <c:order val="1"/>
          <c:spPr>
            <a:solidFill>
              <a:schemeClr val="bg1">
                <a:lumMod val="75000"/>
              </a:schemeClr>
            </a:solidFill>
            <a:ln>
              <a:noFill/>
            </a:ln>
            <a:effectLst/>
          </c:spPr>
          <c:invertIfNegative val="0"/>
          <c:cat>
            <c:strRef>
              <c:f>'Intensity Summary'!$B$17:$B$21</c:f>
              <c:strCache>
                <c:ptCount val="5"/>
                <c:pt idx="0">
                  <c:v>Production </c:v>
                </c:pt>
                <c:pt idx="1">
                  <c:v>Processing </c:v>
                </c:pt>
                <c:pt idx="2">
                  <c:v>Transport </c:v>
                </c:pt>
                <c:pt idx="3">
                  <c:v>Conversion</c:v>
                </c:pt>
                <c:pt idx="4">
                  <c:v>Post-conversion </c:v>
                </c:pt>
              </c:strCache>
            </c:strRef>
          </c:cat>
          <c:val>
            <c:numRef>
              <c:f>'Intensity Summary'!$E$17:$E$21</c:f>
              <c:numCache>
                <c:formatCode>0.0E+00</c:formatCode>
                <c:ptCount val="5"/>
                <c:pt idx="0">
                  <c:v>4.4195821520883471E-2</c:v>
                </c:pt>
                <c:pt idx="1">
                  <c:v>9.9590433375811409E-3</c:v>
                </c:pt>
                <c:pt idx="2">
                  <c:v>1.2361513869297083E-4</c:v>
                </c:pt>
                <c:pt idx="3">
                  <c:v>2.7974291878024031</c:v>
                </c:pt>
                <c:pt idx="4">
                  <c:v>0</c:v>
                </c:pt>
              </c:numCache>
            </c:numRef>
          </c:val>
          <c:extLst>
            <c:ext xmlns:c16="http://schemas.microsoft.com/office/drawing/2014/chart" uri="{C3380CC4-5D6E-409C-BE32-E72D297353CC}">
              <c16:uniqueId val="{00000001-7232-9742-B559-3612D9031CFA}"/>
            </c:ext>
          </c:extLst>
        </c:ser>
        <c:dLbls>
          <c:showLegendKey val="0"/>
          <c:showVal val="0"/>
          <c:showCatName val="0"/>
          <c:showSerName val="0"/>
          <c:showPercent val="0"/>
          <c:showBubbleSize val="0"/>
        </c:dLbls>
        <c:gapWidth val="9"/>
        <c:overlap val="100"/>
        <c:axId val="69565008"/>
        <c:axId val="69567328"/>
      </c:barChart>
      <c:catAx>
        <c:axId val="69565008"/>
        <c:scaling>
          <c:orientation val="maxMin"/>
        </c:scaling>
        <c:delete val="1"/>
        <c:axPos val="l"/>
        <c:numFmt formatCode="General" sourceLinked="1"/>
        <c:majorTickMark val="none"/>
        <c:minorTickMark val="none"/>
        <c:tickLblPos val="nextTo"/>
        <c:crossAx val="69567328"/>
        <c:crosses val="autoZero"/>
        <c:auto val="1"/>
        <c:lblAlgn val="ctr"/>
        <c:lblOffset val="100"/>
        <c:noMultiLvlLbl val="0"/>
      </c:catAx>
      <c:valAx>
        <c:axId val="69567328"/>
        <c:scaling>
          <c:orientation val="minMax"/>
          <c:max val="30"/>
        </c:scaling>
        <c:delete val="1"/>
        <c:axPos val="t"/>
        <c:numFmt formatCode="0.0E+00" sourceLinked="0"/>
        <c:majorTickMark val="out"/>
        <c:minorTickMark val="none"/>
        <c:tickLblPos val="nextTo"/>
        <c:crossAx val="69565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87729658792603"/>
          <c:y val="6.8733960338291003E-2"/>
          <c:w val="0.59963910761154904"/>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'Conventional Natural Gas'!$B$15:$B$35</c:f>
              <c:strCache>
                <c:ptCount val="21"/>
                <c:pt idx="0">
                  <c:v>Drilling</c:v>
                </c:pt>
                <c:pt idx="1">
                  <c:v>Produced water</c:v>
                </c:pt>
                <c:pt idx="4">
                  <c:v>Dehydration</c:v>
                </c:pt>
                <c:pt idx="5">
                  <c:v>Acid gas removal: H2S</c:v>
                </c:pt>
                <c:pt idx="6">
                  <c:v>Acid gas removal: CO2</c:v>
                </c:pt>
                <c:pt idx="7">
                  <c:v>Liquefaction for LNG</c:v>
                </c:pt>
                <c:pt idx="8">
                  <c:v>LNG regasification</c:v>
                </c:pt>
                <c:pt idx="11">
                  <c:v>Hydrostatic pipeline tests</c:v>
                </c:pt>
                <c:pt idx="12">
                  <c:v>Salt cavern storage</c:v>
                </c:pt>
                <c:pt idx="13">
                  <c:v>LNG ship ballast</c:v>
                </c:pt>
                <c:pt idx="14">
                  <c:v>In-port LNG ship cooling</c:v>
                </c:pt>
                <c:pt idx="17">
                  <c:v>Power plant cooling</c:v>
                </c:pt>
                <c:pt idx="20">
                  <c:v>Combustion</c:v>
                </c:pt>
              </c:strCache>
            </c:strRef>
          </c:cat>
          <c:val>
            <c:numRef>
              <c:f>'Conventional Natural Gas'!$O$15:$O$35</c:f>
              <c:numCache>
                <c:formatCode>0.0E+00</c:formatCode>
                <c:ptCount val="21"/>
                <c:pt idx="0">
                  <c:v>10875716.3835246</c:v>
                </c:pt>
                <c:pt idx="1">
                  <c:v>110234769.25321279</c:v>
                </c:pt>
                <c:pt idx="4">
                  <c:v>6384747.4255916988</c:v>
                </c:pt>
                <c:pt idx="5">
                  <c:v>857611.94029850746</c:v>
                </c:pt>
                <c:pt idx="6">
                  <c:v>36414610.716456518</c:v>
                </c:pt>
                <c:pt idx="7">
                  <c:v>181939.46629229665</c:v>
                </c:pt>
                <c:pt idx="8">
                  <c:v>11437.292848533818</c:v>
                </c:pt>
                <c:pt idx="11">
                  <c:v>1496426.8253490091</c:v>
                </c:pt>
                <c:pt idx="12">
                  <c:v>57782426.863296501</c:v>
                </c:pt>
                <c:pt idx="13">
                  <c:v>3887.760816485636</c:v>
                </c:pt>
                <c:pt idx="14">
                  <c:v>1066.1597339807338</c:v>
                </c:pt>
                <c:pt idx="17">
                  <c:v>9152368221.389513</c:v>
                </c:pt>
                <c:pt idx="20">
                  <c:v>-553984112.41544533</c:v>
                </c:pt>
              </c:numCache>
            </c:numRef>
          </c:val>
          <c:extLst>
            <c:ext xmlns:c16="http://schemas.microsoft.com/office/drawing/2014/chart" uri="{C3380CC4-5D6E-409C-BE32-E72D297353CC}">
              <c16:uniqueId val="{00000000-845A-F145-945B-2EF2F850B335}"/>
            </c:ext>
          </c:extLst>
        </c:ser>
        <c:dLbls>
          <c:showLegendKey val="0"/>
          <c:showVal val="0"/>
          <c:showCatName val="0"/>
          <c:showSerName val="0"/>
          <c:showPercent val="0"/>
          <c:showBubbleSize val="0"/>
        </c:dLbls>
        <c:gapWidth val="0"/>
        <c:axId val="70221328"/>
        <c:axId val="70223648"/>
      </c:barChart>
      <c:catAx>
        <c:axId val="70221328"/>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70223648"/>
        <c:crosses val="autoZero"/>
        <c:auto val="1"/>
        <c:lblAlgn val="ctr"/>
        <c:lblOffset val="0"/>
        <c:noMultiLvlLbl val="0"/>
      </c:catAx>
      <c:valAx>
        <c:axId val="70223648"/>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70221328"/>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'Conventional Natural Gas'!$K$13</c:f>
              <c:numCache>
                <c:formatCode>0%</c:formatCode>
                <c:ptCount val="1"/>
                <c:pt idx="0">
                  <c:v>0.40491115585204568</c:v>
                </c:pt>
              </c:numCache>
            </c:numRef>
          </c:val>
          <c:extLst>
            <c:ext xmlns:c16="http://schemas.microsoft.com/office/drawing/2014/chart" uri="{C3380CC4-5D6E-409C-BE32-E72D297353CC}">
              <c16:uniqueId val="{00000000-96D3-F448-BB3D-FBF0EAB2B544}"/>
            </c:ext>
          </c:extLst>
        </c:ser>
        <c:ser>
          <c:idx val="0"/>
          <c:order val="1"/>
          <c:tx>
            <c:v>Surface</c:v>
          </c:tx>
          <c:spPr>
            <a:solidFill>
              <a:srgbClr val="335C89"/>
            </a:solidFill>
            <a:ln w="19050">
              <a:solidFill>
                <a:schemeClr val="lt1"/>
              </a:solidFill>
            </a:ln>
            <a:effectLst/>
          </c:spPr>
          <c:invertIfNegative val="0"/>
          <c:val>
            <c:numRef>
              <c:f>'Conventional Natural Gas'!$L$13</c:f>
              <c:numCache>
                <c:formatCode>0%</c:formatCode>
                <c:ptCount val="1"/>
                <c:pt idx="0">
                  <c:v>0.50606601529599182</c:v>
                </c:pt>
              </c:numCache>
            </c:numRef>
          </c:val>
          <c:extLst>
            <c:ext xmlns:c16="http://schemas.microsoft.com/office/drawing/2014/chart" uri="{C3380CC4-5D6E-409C-BE32-E72D297353CC}">
              <c16:uniqueId val="{00000001-96D3-F448-BB3D-FBF0EAB2B544}"/>
            </c:ext>
          </c:extLst>
        </c:ser>
        <c:ser>
          <c:idx val="2"/>
          <c:order val="2"/>
          <c:tx>
            <c:v>Reuse</c:v>
          </c:tx>
          <c:spPr>
            <a:solidFill>
              <a:srgbClr val="19416C"/>
            </a:solidFill>
            <a:ln w="19050">
              <a:solidFill>
                <a:schemeClr val="lt1"/>
              </a:solidFill>
            </a:ln>
            <a:effectLst/>
          </c:spPr>
          <c:invertIfNegative val="0"/>
          <c:val>
            <c:numRef>
              <c:f>'Conventional Natural Gas'!$M$13</c:f>
              <c:numCache>
                <c:formatCode>0%</c:formatCode>
                <c:ptCount val="1"/>
                <c:pt idx="0">
                  <c:v>8.9022828851962527E-2</c:v>
                </c:pt>
              </c:numCache>
            </c:numRef>
          </c:val>
          <c:extLst>
            <c:ext xmlns:c16="http://schemas.microsoft.com/office/drawing/2014/chart" uri="{C3380CC4-5D6E-409C-BE32-E72D297353CC}">
              <c16:uniqueId val="{00000002-96D3-F448-BB3D-FBF0EAB2B544}"/>
            </c:ext>
          </c:extLst>
        </c:ser>
        <c:dLbls>
          <c:showLegendKey val="0"/>
          <c:showVal val="0"/>
          <c:showCatName val="0"/>
          <c:showSerName val="0"/>
          <c:showPercent val="0"/>
          <c:showBubbleSize val="0"/>
        </c:dLbls>
        <c:gapWidth val="0"/>
        <c:overlap val="100"/>
        <c:axId val="39481184"/>
        <c:axId val="39478864"/>
      </c:barChart>
      <c:valAx>
        <c:axId val="39478864"/>
        <c:scaling>
          <c:orientation val="minMax"/>
        </c:scaling>
        <c:delete val="1"/>
        <c:axPos val="b"/>
        <c:numFmt formatCode="0%" sourceLinked="1"/>
        <c:majorTickMark val="out"/>
        <c:minorTickMark val="none"/>
        <c:tickLblPos val="nextTo"/>
        <c:crossAx val="39481184"/>
        <c:crosses val="autoZero"/>
        <c:crossBetween val="between"/>
      </c:valAx>
      <c:catAx>
        <c:axId val="39481184"/>
        <c:scaling>
          <c:orientation val="minMax"/>
        </c:scaling>
        <c:delete val="1"/>
        <c:axPos val="l"/>
        <c:majorTickMark val="out"/>
        <c:minorTickMark val="none"/>
        <c:tickLblPos val="nextTo"/>
        <c:crossAx val="3947886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3002-2345-9D19-2B0D2C73AEB2}"/>
              </c:ext>
            </c:extLst>
          </c:dPt>
          <c:val>
            <c:numRef>
              <c:f>'Conventional Natural Gas'!$F$13</c:f>
              <c:numCache>
                <c:formatCode>0%</c:formatCode>
                <c:ptCount val="1"/>
                <c:pt idx="0">
                  <c:v>0.76749633805166584</c:v>
                </c:pt>
              </c:numCache>
            </c:numRef>
          </c:val>
          <c:extLst>
            <c:ext xmlns:c16="http://schemas.microsoft.com/office/drawing/2014/chart" uri="{C3380CC4-5D6E-409C-BE32-E72D297353CC}">
              <c16:uniqueId val="{00000002-3002-2345-9D19-2B0D2C73AEB2}"/>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3002-2345-9D19-2B0D2C73AEB2}"/>
              </c:ext>
            </c:extLst>
          </c:dPt>
          <c:val>
            <c:numRef>
              <c:f>'Conventional Natural Gas'!$G$13</c:f>
              <c:numCache>
                <c:formatCode>0%</c:formatCode>
                <c:ptCount val="1"/>
                <c:pt idx="0">
                  <c:v>3.374211394362206E-2</c:v>
                </c:pt>
              </c:numCache>
            </c:numRef>
          </c:val>
          <c:extLst>
            <c:ext xmlns:c16="http://schemas.microsoft.com/office/drawing/2014/chart" uri="{C3380CC4-5D6E-409C-BE32-E72D297353CC}">
              <c16:uniqueId val="{00000005-3002-2345-9D19-2B0D2C73AEB2}"/>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3002-2345-9D19-2B0D2C73AEB2}"/>
              </c:ext>
            </c:extLst>
          </c:dPt>
          <c:val>
            <c:numRef>
              <c:f>'Conventional Natural Gas'!$H$13</c:f>
              <c:numCache>
                <c:formatCode>0%</c:formatCode>
                <c:ptCount val="1"/>
                <c:pt idx="0">
                  <c:v>3.1234680866700584E-2</c:v>
                </c:pt>
              </c:numCache>
            </c:numRef>
          </c:val>
          <c:extLst>
            <c:ext xmlns:c16="http://schemas.microsoft.com/office/drawing/2014/chart" uri="{C3380CC4-5D6E-409C-BE32-E72D297353CC}">
              <c16:uniqueId val="{00000008-3002-2345-9D19-2B0D2C73AEB2}"/>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3002-2345-9D19-2B0D2C73AEB2}"/>
              </c:ext>
            </c:extLst>
          </c:dPt>
          <c:val>
            <c:numRef>
              <c:f>'Conventional Natural Gas'!$I$13</c:f>
              <c:numCache>
                <c:formatCode>0%</c:formatCode>
                <c:ptCount val="1"/>
                <c:pt idx="0">
                  <c:v>0.16752686713801151</c:v>
                </c:pt>
              </c:numCache>
            </c:numRef>
          </c:val>
          <c:extLst>
            <c:ext xmlns:c16="http://schemas.microsoft.com/office/drawing/2014/chart" uri="{C3380CC4-5D6E-409C-BE32-E72D297353CC}">
              <c16:uniqueId val="{0000000B-3002-2345-9D19-2B0D2C73AEB2}"/>
            </c:ext>
          </c:extLst>
        </c:ser>
        <c:dLbls>
          <c:showLegendKey val="0"/>
          <c:showVal val="0"/>
          <c:showCatName val="0"/>
          <c:showSerName val="0"/>
          <c:showPercent val="0"/>
          <c:showBubbleSize val="0"/>
        </c:dLbls>
        <c:gapWidth val="0"/>
        <c:overlap val="100"/>
        <c:axId val="39510400"/>
        <c:axId val="39507568"/>
      </c:barChart>
      <c:valAx>
        <c:axId val="39507568"/>
        <c:scaling>
          <c:orientation val="minMax"/>
        </c:scaling>
        <c:delete val="1"/>
        <c:axPos val="b"/>
        <c:numFmt formatCode="0%" sourceLinked="1"/>
        <c:majorTickMark val="out"/>
        <c:minorTickMark val="none"/>
        <c:tickLblPos val="nextTo"/>
        <c:crossAx val="39510400"/>
        <c:crosses val="autoZero"/>
        <c:crossBetween val="between"/>
      </c:valAx>
      <c:catAx>
        <c:axId val="39510400"/>
        <c:scaling>
          <c:orientation val="minMax"/>
        </c:scaling>
        <c:delete val="1"/>
        <c:axPos val="l"/>
        <c:majorTickMark val="out"/>
        <c:minorTickMark val="none"/>
        <c:tickLblPos val="nextTo"/>
        <c:crossAx val="3950756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'Conventional Natural Gas'!$W$13</c:f>
              <c:numCache>
                <c:formatCode>0%</c:formatCode>
                <c:ptCount val="1"/>
                <c:pt idx="0">
                  <c:v>3.4699254746653918E-2</c:v>
                </c:pt>
              </c:numCache>
            </c:numRef>
          </c:val>
          <c:extLst>
            <c:ext xmlns:c16="http://schemas.microsoft.com/office/drawing/2014/chart" uri="{C3380CC4-5D6E-409C-BE32-E72D297353CC}">
              <c16:uniqueId val="{00000000-2CA8-4343-8AB3-7C7CB722CE5E}"/>
            </c:ext>
          </c:extLst>
        </c:ser>
        <c:ser>
          <c:idx val="0"/>
          <c:order val="1"/>
          <c:tx>
            <c:v>Surface</c:v>
          </c:tx>
          <c:spPr>
            <a:solidFill>
              <a:srgbClr val="335C89"/>
            </a:solidFill>
            <a:ln w="19050">
              <a:solidFill>
                <a:schemeClr val="lt1"/>
              </a:solidFill>
            </a:ln>
            <a:effectLst/>
          </c:spPr>
          <c:invertIfNegative val="0"/>
          <c:val>
            <c:numRef>
              <c:f>'Conventional Natural Gas'!$X$13</c:f>
              <c:numCache>
                <c:formatCode>0%</c:formatCode>
                <c:ptCount val="1"/>
                <c:pt idx="0">
                  <c:v>0.94887296485391082</c:v>
                </c:pt>
              </c:numCache>
            </c:numRef>
          </c:val>
          <c:extLst>
            <c:ext xmlns:c16="http://schemas.microsoft.com/office/drawing/2014/chart" uri="{C3380CC4-5D6E-409C-BE32-E72D297353CC}">
              <c16:uniqueId val="{00000001-2CA8-4343-8AB3-7C7CB722CE5E}"/>
            </c:ext>
          </c:extLst>
        </c:ser>
        <c:ser>
          <c:idx val="2"/>
          <c:order val="2"/>
          <c:tx>
            <c:v>Reuse</c:v>
          </c:tx>
          <c:spPr>
            <a:solidFill>
              <a:srgbClr val="19416C"/>
            </a:solidFill>
            <a:ln w="19050">
              <a:solidFill>
                <a:schemeClr val="lt1"/>
              </a:solidFill>
            </a:ln>
            <a:effectLst/>
          </c:spPr>
          <c:invertIfNegative val="0"/>
          <c:val>
            <c:numRef>
              <c:f>'Conventional Natural Gas'!$Y$13</c:f>
              <c:numCache>
                <c:formatCode>0%</c:formatCode>
                <c:ptCount val="1"/>
                <c:pt idx="0">
                  <c:v>1.6427780399435227E-2</c:v>
                </c:pt>
              </c:numCache>
            </c:numRef>
          </c:val>
          <c:extLst>
            <c:ext xmlns:c16="http://schemas.microsoft.com/office/drawing/2014/chart" uri="{C3380CC4-5D6E-409C-BE32-E72D297353CC}">
              <c16:uniqueId val="{00000002-2CA8-4343-8AB3-7C7CB722CE5E}"/>
            </c:ext>
          </c:extLst>
        </c:ser>
        <c:dLbls>
          <c:showLegendKey val="0"/>
          <c:showVal val="0"/>
          <c:showCatName val="0"/>
          <c:showSerName val="0"/>
          <c:showPercent val="0"/>
          <c:showBubbleSize val="0"/>
        </c:dLbls>
        <c:gapWidth val="0"/>
        <c:overlap val="100"/>
        <c:axId val="39538384"/>
        <c:axId val="39536064"/>
      </c:barChart>
      <c:valAx>
        <c:axId val="39536064"/>
        <c:scaling>
          <c:orientation val="minMax"/>
          <c:min val="0"/>
        </c:scaling>
        <c:delete val="1"/>
        <c:axPos val="b"/>
        <c:numFmt formatCode="0%" sourceLinked="0"/>
        <c:majorTickMark val="out"/>
        <c:minorTickMark val="none"/>
        <c:tickLblPos val="nextTo"/>
        <c:crossAx val="39538384"/>
        <c:crosses val="autoZero"/>
        <c:crossBetween val="between"/>
      </c:valAx>
      <c:catAx>
        <c:axId val="39538384"/>
        <c:scaling>
          <c:orientation val="minMax"/>
        </c:scaling>
        <c:delete val="1"/>
        <c:axPos val="l"/>
        <c:majorTickMark val="out"/>
        <c:minorTickMark val="none"/>
        <c:tickLblPos val="nextTo"/>
        <c:crossAx val="3953606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'Conventional Natural Gas'!$R$13</c:f>
              <c:numCache>
                <c:formatCode>0%</c:formatCode>
                <c:ptCount val="1"/>
                <c:pt idx="0">
                  <c:v>0.49517202201963123</c:v>
                </c:pt>
              </c:numCache>
            </c:numRef>
          </c:val>
          <c:extLst>
            <c:ext xmlns:c16="http://schemas.microsoft.com/office/drawing/2014/chart" uri="{C3380CC4-5D6E-409C-BE32-E72D297353CC}">
              <c16:uniqueId val="{00000000-CB4B-A540-8DCE-CB7C9EFEC6EA}"/>
            </c:ext>
          </c:extLst>
        </c:ser>
        <c:ser>
          <c:idx val="1"/>
          <c:order val="1"/>
          <c:tx>
            <c:v>Brackish</c:v>
          </c:tx>
          <c:spPr>
            <a:solidFill>
              <a:srgbClr val="98D862"/>
            </a:solidFill>
            <a:ln w="19050">
              <a:solidFill>
                <a:schemeClr val="lt1"/>
              </a:solidFill>
            </a:ln>
            <a:effectLst/>
          </c:spPr>
          <c:invertIfNegative val="0"/>
          <c:val>
            <c:numRef>
              <c:f>'Conventional Natural Gas'!$S$13</c:f>
              <c:numCache>
                <c:formatCode>0%</c:formatCode>
                <c:ptCount val="1"/>
                <c:pt idx="0">
                  <c:v>0.22662546574992809</c:v>
                </c:pt>
              </c:numCache>
            </c:numRef>
          </c:val>
          <c:extLst>
            <c:ext xmlns:c16="http://schemas.microsoft.com/office/drawing/2014/chart" uri="{C3380CC4-5D6E-409C-BE32-E72D297353CC}">
              <c16:uniqueId val="{00000001-CB4B-A540-8DCE-CB7C9EFEC6EA}"/>
            </c:ext>
          </c:extLst>
        </c:ser>
        <c:ser>
          <c:idx val="2"/>
          <c:order val="2"/>
          <c:tx>
            <c:v>Saline</c:v>
          </c:tx>
          <c:spPr>
            <a:solidFill>
              <a:srgbClr val="6EB739"/>
            </a:solidFill>
            <a:ln w="19050">
              <a:solidFill>
                <a:schemeClr val="lt1"/>
              </a:solidFill>
            </a:ln>
            <a:effectLst/>
          </c:spPr>
          <c:invertIfNegative val="0"/>
          <c:val>
            <c:numRef>
              <c:f>'Conventional Natural Gas'!$T$13</c:f>
              <c:numCache>
                <c:formatCode>0%</c:formatCode>
                <c:ptCount val="1"/>
                <c:pt idx="0">
                  <c:v>0.26576523680895797</c:v>
                </c:pt>
              </c:numCache>
            </c:numRef>
          </c:val>
          <c:extLst>
            <c:ext xmlns:c16="http://schemas.microsoft.com/office/drawing/2014/chart" uri="{C3380CC4-5D6E-409C-BE32-E72D297353CC}">
              <c16:uniqueId val="{00000002-CB4B-A540-8DCE-CB7C9EFEC6EA}"/>
            </c:ext>
          </c:extLst>
        </c:ser>
        <c:ser>
          <c:idx val="3"/>
          <c:order val="3"/>
          <c:tx>
            <c:v>Not RO</c:v>
          </c:tx>
          <c:spPr>
            <a:solidFill>
              <a:srgbClr val="5A9D2C"/>
            </a:solidFill>
            <a:ln w="19050">
              <a:solidFill>
                <a:schemeClr val="lt1"/>
              </a:solidFill>
            </a:ln>
            <a:effectLst/>
          </c:spPr>
          <c:invertIfNegative val="0"/>
          <c:val>
            <c:numRef>
              <c:f>'Conventional Natural Gas'!$U$13</c:f>
              <c:numCache>
                <c:formatCode>0%</c:formatCode>
                <c:ptCount val="1"/>
                <c:pt idx="0">
                  <c:v>1.2437275421482576E-2</c:v>
                </c:pt>
              </c:numCache>
            </c:numRef>
          </c:val>
          <c:extLst>
            <c:ext xmlns:c16="http://schemas.microsoft.com/office/drawing/2014/chart" uri="{C3380CC4-5D6E-409C-BE32-E72D297353CC}">
              <c16:uniqueId val="{00000003-CB4B-A540-8DCE-CB7C9EFEC6EA}"/>
            </c:ext>
          </c:extLst>
        </c:ser>
        <c:dLbls>
          <c:showLegendKey val="0"/>
          <c:showVal val="0"/>
          <c:showCatName val="0"/>
          <c:showSerName val="0"/>
          <c:showPercent val="0"/>
          <c:showBubbleSize val="0"/>
        </c:dLbls>
        <c:gapWidth val="0"/>
        <c:overlap val="100"/>
        <c:axId val="39562432"/>
        <c:axId val="39559600"/>
      </c:barChart>
      <c:valAx>
        <c:axId val="39559600"/>
        <c:scaling>
          <c:orientation val="minMax"/>
        </c:scaling>
        <c:delete val="1"/>
        <c:axPos val="b"/>
        <c:numFmt formatCode="0%" sourceLinked="0"/>
        <c:majorTickMark val="out"/>
        <c:minorTickMark val="none"/>
        <c:tickLblPos val="nextTo"/>
        <c:crossAx val="39562432"/>
        <c:crosses val="autoZero"/>
        <c:crossBetween val="between"/>
      </c:valAx>
      <c:catAx>
        <c:axId val="39562432"/>
        <c:scaling>
          <c:orientation val="minMax"/>
        </c:scaling>
        <c:delete val="1"/>
        <c:axPos val="l"/>
        <c:majorTickMark val="out"/>
        <c:minorTickMark val="none"/>
        <c:tickLblPos val="nextTo"/>
        <c:crossAx val="395596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'Unconventional Natural Gas'!$B$15:$B$36</c:f>
              <c:strCache>
                <c:ptCount val="22"/>
                <c:pt idx="0">
                  <c:v>Drilling</c:v>
                </c:pt>
                <c:pt idx="1">
                  <c:v>Hydraulic fracturing</c:v>
                </c:pt>
                <c:pt idx="2">
                  <c:v>Produced water: tight gas</c:v>
                </c:pt>
                <c:pt idx="3">
                  <c:v>Produced water: coalbed methane</c:v>
                </c:pt>
                <c:pt idx="6">
                  <c:v>Dehydration</c:v>
                </c:pt>
                <c:pt idx="7">
                  <c:v>Acid gas removal: CO2</c:v>
                </c:pt>
                <c:pt idx="8">
                  <c:v>Liquefaction for LNG</c:v>
                </c:pt>
                <c:pt idx="9">
                  <c:v>LNG regasification</c:v>
                </c:pt>
                <c:pt idx="12">
                  <c:v>Hydrostatic pipeline tests</c:v>
                </c:pt>
                <c:pt idx="13">
                  <c:v>Salt cavern storage</c:v>
                </c:pt>
                <c:pt idx="14">
                  <c:v>LNG ship ballast</c:v>
                </c:pt>
                <c:pt idx="15">
                  <c:v>In-port LNG ship cooling</c:v>
                </c:pt>
                <c:pt idx="18">
                  <c:v>Power plant cooling</c:v>
                </c:pt>
                <c:pt idx="21">
                  <c:v>Combustion</c:v>
                </c:pt>
              </c:strCache>
            </c:strRef>
          </c:cat>
          <c:val>
            <c:numRef>
              <c:f>'Unconventional Natural Gas'!$C$15:$C$36</c:f>
              <c:numCache>
                <c:formatCode>0.0E+00</c:formatCode>
                <c:ptCount val="22"/>
                <c:pt idx="0">
                  <c:v>11274411.519563163</c:v>
                </c:pt>
                <c:pt idx="1">
                  <c:v>214153846.15384617</c:v>
                </c:pt>
                <c:pt idx="2">
                  <c:v>104560447.22152855</c:v>
                </c:pt>
                <c:pt idx="3">
                  <c:v>106612443.52465272</c:v>
                </c:pt>
                <c:pt idx="6">
                  <c:v>6051572.5360860759</c:v>
                </c:pt>
                <c:pt idx="7">
                  <c:v>23009592.855695654</c:v>
                </c:pt>
                <c:pt idx="8">
                  <c:v>107778.33131576316</c:v>
                </c:pt>
                <c:pt idx="9">
                  <c:v>10840.46128621081</c:v>
                </c:pt>
                <c:pt idx="12" formatCode="0">
                  <c:v>0</c:v>
                </c:pt>
                <c:pt idx="13">
                  <c:v>54767169.970223494</c:v>
                </c:pt>
                <c:pt idx="14">
                  <c:v>3684.8860284767975</c:v>
                </c:pt>
                <c:pt idx="15" formatCode="0">
                  <c:v>0</c:v>
                </c:pt>
                <c:pt idx="18">
                  <c:v>460317930.4213028</c:v>
                </c:pt>
                <c:pt idx="21">
                  <c:v>-525075592.91754502</c:v>
                </c:pt>
              </c:numCache>
            </c:numRef>
          </c:val>
          <c:extLst>
            <c:ext xmlns:c16="http://schemas.microsoft.com/office/drawing/2014/chart" uri="{C3380CC4-5D6E-409C-BE32-E72D297353CC}">
              <c16:uniqueId val="{00000000-F29C-BB48-AA8F-57603B1EE367}"/>
            </c:ext>
          </c:extLst>
        </c:ser>
        <c:dLbls>
          <c:showLegendKey val="0"/>
          <c:showVal val="0"/>
          <c:showCatName val="0"/>
          <c:showSerName val="0"/>
          <c:showPercent val="0"/>
          <c:showBubbleSize val="0"/>
        </c:dLbls>
        <c:gapWidth val="0"/>
        <c:axId val="-69151600"/>
        <c:axId val="69543296"/>
      </c:barChart>
      <c:catAx>
        <c:axId val="-6915160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543296"/>
        <c:crosses val="autoZero"/>
        <c:auto val="1"/>
        <c:lblAlgn val="ctr"/>
        <c:lblOffset val="0"/>
        <c:noMultiLvlLbl val="0"/>
      </c:catAx>
      <c:valAx>
        <c:axId val="69543296"/>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151600"/>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'Unconventional Natural Gas'!$B$15:$B$36</c:f>
              <c:strCache>
                <c:ptCount val="22"/>
                <c:pt idx="0">
                  <c:v>Drilling</c:v>
                </c:pt>
                <c:pt idx="1">
                  <c:v>Hydraulic fracturing</c:v>
                </c:pt>
                <c:pt idx="2">
                  <c:v>Produced water: tight gas</c:v>
                </c:pt>
                <c:pt idx="3">
                  <c:v>Produced water: coalbed methane</c:v>
                </c:pt>
                <c:pt idx="6">
                  <c:v>Dehydration</c:v>
                </c:pt>
                <c:pt idx="7">
                  <c:v>Acid gas removal: CO2</c:v>
                </c:pt>
                <c:pt idx="8">
                  <c:v>Liquefaction for LNG</c:v>
                </c:pt>
                <c:pt idx="9">
                  <c:v>LNG regasification</c:v>
                </c:pt>
                <c:pt idx="12">
                  <c:v>Hydrostatic pipeline tests</c:v>
                </c:pt>
                <c:pt idx="13">
                  <c:v>Salt cavern storage</c:v>
                </c:pt>
                <c:pt idx="14">
                  <c:v>LNG ship ballast</c:v>
                </c:pt>
                <c:pt idx="15">
                  <c:v>In-port LNG ship cooling</c:v>
                </c:pt>
                <c:pt idx="18">
                  <c:v>Power plant cooling</c:v>
                </c:pt>
                <c:pt idx="21">
                  <c:v>Combustion</c:v>
                </c:pt>
              </c:strCache>
            </c:strRef>
          </c:cat>
          <c:val>
            <c:numRef>
              <c:f>'Unconventional Natural Gas'!$O$15:$O$36</c:f>
              <c:numCache>
                <c:formatCode>0.0E+00</c:formatCode>
                <c:ptCount val="22"/>
                <c:pt idx="0">
                  <c:v>10308189.531976592</c:v>
                </c:pt>
                <c:pt idx="1">
                  <c:v>205587692.30769232</c:v>
                </c:pt>
                <c:pt idx="2">
                  <c:v>109280321.42857145</c:v>
                </c:pt>
                <c:pt idx="3">
                  <c:v>111424945.15135024</c:v>
                </c:pt>
                <c:pt idx="6">
                  <c:v>6051572.5360860759</c:v>
                </c:pt>
                <c:pt idx="7">
                  <c:v>34514389.283543482</c:v>
                </c:pt>
                <c:pt idx="8">
                  <c:v>172445.33010522107</c:v>
                </c:pt>
                <c:pt idx="9">
                  <c:v>10840.46128621081</c:v>
                </c:pt>
                <c:pt idx="12">
                  <c:v>1418338.8746509906</c:v>
                </c:pt>
                <c:pt idx="13">
                  <c:v>54767169.970223494</c:v>
                </c:pt>
                <c:pt idx="14">
                  <c:v>3684.8860284767975</c:v>
                </c:pt>
                <c:pt idx="15">
                  <c:v>1010.524384939271</c:v>
                </c:pt>
                <c:pt idx="18">
                  <c:v>8674770742.9593258</c:v>
                </c:pt>
                <c:pt idx="21">
                  <c:v>-525075592.91754502</c:v>
                </c:pt>
              </c:numCache>
            </c:numRef>
          </c:val>
          <c:extLst>
            <c:ext xmlns:c16="http://schemas.microsoft.com/office/drawing/2014/chart" uri="{C3380CC4-5D6E-409C-BE32-E72D297353CC}">
              <c16:uniqueId val="{00000000-5505-1548-A996-616F789F7DBD}"/>
            </c:ext>
          </c:extLst>
        </c:ser>
        <c:dLbls>
          <c:showLegendKey val="0"/>
          <c:showVal val="0"/>
          <c:showCatName val="0"/>
          <c:showSerName val="0"/>
          <c:showPercent val="0"/>
          <c:showBubbleSize val="0"/>
        </c:dLbls>
        <c:gapWidth val="0"/>
        <c:axId val="-69118512"/>
        <c:axId val="-69116192"/>
      </c:barChart>
      <c:catAx>
        <c:axId val="-6911851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116192"/>
        <c:crosses val="autoZero"/>
        <c:auto val="1"/>
        <c:lblAlgn val="ctr"/>
        <c:lblOffset val="0"/>
        <c:noMultiLvlLbl val="0"/>
      </c:catAx>
      <c:valAx>
        <c:axId val="-69116192"/>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118512"/>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'Unconventional Natural Gas'!$K$13</c:f>
              <c:numCache>
                <c:formatCode>0%</c:formatCode>
                <c:ptCount val="1"/>
                <c:pt idx="0">
                  <c:v>0.51806345238977902</c:v>
                </c:pt>
              </c:numCache>
            </c:numRef>
          </c:val>
          <c:extLst>
            <c:ext xmlns:c16="http://schemas.microsoft.com/office/drawing/2014/chart" uri="{C3380CC4-5D6E-409C-BE32-E72D297353CC}">
              <c16:uniqueId val="{00000000-6164-004F-A8AF-D9CCF235C290}"/>
            </c:ext>
          </c:extLst>
        </c:ser>
        <c:ser>
          <c:idx val="0"/>
          <c:order val="1"/>
          <c:tx>
            <c:v>Surface</c:v>
          </c:tx>
          <c:spPr>
            <a:solidFill>
              <a:srgbClr val="335C89"/>
            </a:solidFill>
            <a:ln w="19050">
              <a:solidFill>
                <a:schemeClr val="lt1"/>
              </a:solidFill>
            </a:ln>
            <a:effectLst/>
          </c:spPr>
          <c:invertIfNegative val="0"/>
          <c:val>
            <c:numRef>
              <c:f>'Unconventional Natural Gas'!$L$13</c:f>
              <c:numCache>
                <c:formatCode>0%</c:formatCode>
                <c:ptCount val="1"/>
                <c:pt idx="0">
                  <c:v>0.41332062724779545</c:v>
                </c:pt>
              </c:numCache>
            </c:numRef>
          </c:val>
          <c:extLst>
            <c:ext xmlns:c16="http://schemas.microsoft.com/office/drawing/2014/chart" uri="{C3380CC4-5D6E-409C-BE32-E72D297353CC}">
              <c16:uniqueId val="{00000001-6164-004F-A8AF-D9CCF235C290}"/>
            </c:ext>
          </c:extLst>
        </c:ser>
        <c:ser>
          <c:idx val="2"/>
          <c:order val="2"/>
          <c:tx>
            <c:v>Reuse</c:v>
          </c:tx>
          <c:spPr>
            <a:solidFill>
              <a:srgbClr val="19416C"/>
            </a:solidFill>
            <a:ln w="19050">
              <a:solidFill>
                <a:schemeClr val="lt1"/>
              </a:solidFill>
            </a:ln>
            <a:effectLst/>
          </c:spPr>
          <c:invertIfNegative val="0"/>
          <c:val>
            <c:numRef>
              <c:f>'Unconventional Natural Gas'!$M$13</c:f>
              <c:numCache>
                <c:formatCode>0%</c:formatCode>
                <c:ptCount val="1"/>
                <c:pt idx="0">
                  <c:v>6.86159203624256E-2</c:v>
                </c:pt>
              </c:numCache>
            </c:numRef>
          </c:val>
          <c:extLst>
            <c:ext xmlns:c16="http://schemas.microsoft.com/office/drawing/2014/chart" uri="{C3380CC4-5D6E-409C-BE32-E72D297353CC}">
              <c16:uniqueId val="{00000002-6164-004F-A8AF-D9CCF235C290}"/>
            </c:ext>
          </c:extLst>
        </c:ser>
        <c:dLbls>
          <c:showLegendKey val="0"/>
          <c:showVal val="0"/>
          <c:showCatName val="0"/>
          <c:showSerName val="0"/>
          <c:showPercent val="0"/>
          <c:showBubbleSize val="0"/>
        </c:dLbls>
        <c:gapWidth val="0"/>
        <c:overlap val="100"/>
        <c:axId val="-32237936"/>
        <c:axId val="-32239712"/>
      </c:barChart>
      <c:valAx>
        <c:axId val="-32239712"/>
        <c:scaling>
          <c:orientation val="minMax"/>
        </c:scaling>
        <c:delete val="1"/>
        <c:axPos val="b"/>
        <c:numFmt formatCode="0%" sourceLinked="0"/>
        <c:majorTickMark val="out"/>
        <c:minorTickMark val="none"/>
        <c:tickLblPos val="nextTo"/>
        <c:crossAx val="-32237936"/>
        <c:crosses val="autoZero"/>
        <c:crossBetween val="between"/>
      </c:valAx>
      <c:catAx>
        <c:axId val="-32237936"/>
        <c:scaling>
          <c:orientation val="minMax"/>
        </c:scaling>
        <c:delete val="1"/>
        <c:axPos val="l"/>
        <c:majorTickMark val="out"/>
        <c:minorTickMark val="none"/>
        <c:tickLblPos val="nextTo"/>
        <c:crossAx val="-3223971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93F3-2141-877C-E1E9D39A8BBC}"/>
              </c:ext>
            </c:extLst>
          </c:dPt>
          <c:val>
            <c:numRef>
              <c:f>'Unconventional Natural Gas'!$F$13</c:f>
              <c:numCache>
                <c:formatCode>0%</c:formatCode>
                <c:ptCount val="1"/>
                <c:pt idx="0">
                  <c:v>0.76795589619030624</c:v>
                </c:pt>
              </c:numCache>
            </c:numRef>
          </c:val>
          <c:extLst>
            <c:ext xmlns:c16="http://schemas.microsoft.com/office/drawing/2014/chart" uri="{C3380CC4-5D6E-409C-BE32-E72D297353CC}">
              <c16:uniqueId val="{00000002-93F3-2141-877C-E1E9D39A8BBC}"/>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93F3-2141-877C-E1E9D39A8BBC}"/>
              </c:ext>
            </c:extLst>
          </c:dPt>
          <c:val>
            <c:numRef>
              <c:f>'Unconventional Natural Gas'!$G$13</c:f>
              <c:numCache>
                <c:formatCode>0%</c:formatCode>
                <c:ptCount val="1"/>
                <c:pt idx="0">
                  <c:v>6.5596058182967043E-2</c:v>
                </c:pt>
              </c:numCache>
            </c:numRef>
          </c:val>
          <c:extLst>
            <c:ext xmlns:c16="http://schemas.microsoft.com/office/drawing/2014/chart" uri="{C3380CC4-5D6E-409C-BE32-E72D297353CC}">
              <c16:uniqueId val="{00000005-93F3-2141-877C-E1E9D39A8BBC}"/>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93F3-2141-877C-E1E9D39A8BBC}"/>
              </c:ext>
            </c:extLst>
          </c:dPt>
          <c:val>
            <c:numRef>
              <c:f>'Unconventional Natural Gas'!$H$13</c:f>
              <c:numCache>
                <c:formatCode>0%</c:formatCode>
                <c:ptCount val="1"/>
                <c:pt idx="0">
                  <c:v>4.9225720722179733E-2</c:v>
                </c:pt>
              </c:numCache>
            </c:numRef>
          </c:val>
          <c:extLst>
            <c:ext xmlns:c16="http://schemas.microsoft.com/office/drawing/2014/chart" uri="{C3380CC4-5D6E-409C-BE32-E72D297353CC}">
              <c16:uniqueId val="{00000008-93F3-2141-877C-E1E9D39A8BBC}"/>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93F3-2141-877C-E1E9D39A8BBC}"/>
              </c:ext>
            </c:extLst>
          </c:dPt>
          <c:val>
            <c:numRef>
              <c:f>'Unconventional Natural Gas'!$I$13</c:f>
              <c:numCache>
                <c:formatCode>0%</c:formatCode>
                <c:ptCount val="1"/>
                <c:pt idx="0">
                  <c:v>0.11722232490454695</c:v>
                </c:pt>
              </c:numCache>
            </c:numRef>
          </c:val>
          <c:extLst>
            <c:ext xmlns:c16="http://schemas.microsoft.com/office/drawing/2014/chart" uri="{C3380CC4-5D6E-409C-BE32-E72D297353CC}">
              <c16:uniqueId val="{0000000B-93F3-2141-877C-E1E9D39A8BBC}"/>
            </c:ext>
          </c:extLst>
        </c:ser>
        <c:dLbls>
          <c:showLegendKey val="0"/>
          <c:showVal val="0"/>
          <c:showCatName val="0"/>
          <c:showSerName val="0"/>
          <c:showPercent val="0"/>
          <c:showBubbleSize val="0"/>
        </c:dLbls>
        <c:gapWidth val="0"/>
        <c:overlap val="100"/>
        <c:axId val="36955728"/>
        <c:axId val="37306416"/>
      </c:barChart>
      <c:valAx>
        <c:axId val="37306416"/>
        <c:scaling>
          <c:orientation val="minMax"/>
        </c:scaling>
        <c:delete val="1"/>
        <c:axPos val="b"/>
        <c:numFmt formatCode="0%" sourceLinked="1"/>
        <c:majorTickMark val="out"/>
        <c:minorTickMark val="none"/>
        <c:tickLblPos val="nextTo"/>
        <c:crossAx val="36955728"/>
        <c:crosses val="autoZero"/>
        <c:crossBetween val="between"/>
      </c:valAx>
      <c:catAx>
        <c:axId val="36955728"/>
        <c:scaling>
          <c:orientation val="minMax"/>
        </c:scaling>
        <c:delete val="1"/>
        <c:axPos val="l"/>
        <c:majorTickMark val="out"/>
        <c:minorTickMark val="none"/>
        <c:tickLblPos val="nextTo"/>
        <c:crossAx val="373064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'Unconventional Natural Gas'!$W$13</c:f>
              <c:numCache>
                <c:formatCode>0%</c:formatCode>
                <c:ptCount val="1"/>
                <c:pt idx="0">
                  <c:v>6.0587969618473174E-2</c:v>
                </c:pt>
              </c:numCache>
            </c:numRef>
          </c:val>
          <c:extLst>
            <c:ext xmlns:c16="http://schemas.microsoft.com/office/drawing/2014/chart" uri="{C3380CC4-5D6E-409C-BE32-E72D297353CC}">
              <c16:uniqueId val="{00000000-7478-3442-94B1-505E005A9E13}"/>
            </c:ext>
          </c:extLst>
        </c:ser>
        <c:ser>
          <c:idx val="0"/>
          <c:order val="1"/>
          <c:tx>
            <c:v>Surface</c:v>
          </c:tx>
          <c:spPr>
            <a:solidFill>
              <a:srgbClr val="335C89"/>
            </a:solidFill>
            <a:ln w="19050">
              <a:solidFill>
                <a:schemeClr val="lt1"/>
              </a:solidFill>
            </a:ln>
            <a:effectLst/>
          </c:spPr>
          <c:invertIfNegative val="0"/>
          <c:val>
            <c:numRef>
              <c:f>'Unconventional Natural Gas'!$X$13</c:f>
              <c:numCache>
                <c:formatCode>0%</c:formatCode>
                <c:ptCount val="1"/>
                <c:pt idx="0">
                  <c:v>0.9235569152195312</c:v>
                </c:pt>
              </c:numCache>
            </c:numRef>
          </c:val>
          <c:extLst>
            <c:ext xmlns:c16="http://schemas.microsoft.com/office/drawing/2014/chart" uri="{C3380CC4-5D6E-409C-BE32-E72D297353CC}">
              <c16:uniqueId val="{00000001-7478-3442-94B1-505E005A9E13}"/>
            </c:ext>
          </c:extLst>
        </c:ser>
        <c:ser>
          <c:idx val="2"/>
          <c:order val="2"/>
          <c:tx>
            <c:v>Reuse</c:v>
          </c:tx>
          <c:spPr>
            <a:solidFill>
              <a:srgbClr val="19416C"/>
            </a:solidFill>
            <a:ln w="19050">
              <a:solidFill>
                <a:schemeClr val="lt1"/>
              </a:solidFill>
            </a:ln>
            <a:effectLst/>
          </c:spPr>
          <c:invertIfNegative val="0"/>
          <c:val>
            <c:numRef>
              <c:f>'Unconventional Natural Gas'!$Y$13</c:f>
              <c:numCache>
                <c:formatCode>0%</c:formatCode>
                <c:ptCount val="1"/>
                <c:pt idx="0">
                  <c:v>1.5855115161995583E-2</c:v>
                </c:pt>
              </c:numCache>
            </c:numRef>
          </c:val>
          <c:extLst>
            <c:ext xmlns:c16="http://schemas.microsoft.com/office/drawing/2014/chart" uri="{C3380CC4-5D6E-409C-BE32-E72D297353CC}">
              <c16:uniqueId val="{00000002-7478-3442-94B1-505E005A9E13}"/>
            </c:ext>
          </c:extLst>
        </c:ser>
        <c:dLbls>
          <c:showLegendKey val="0"/>
          <c:showVal val="0"/>
          <c:showCatName val="0"/>
          <c:showSerName val="0"/>
          <c:showPercent val="0"/>
          <c:showBubbleSize val="0"/>
        </c:dLbls>
        <c:gapWidth val="0"/>
        <c:overlap val="100"/>
        <c:axId val="37688080"/>
        <c:axId val="37686304"/>
      </c:barChart>
      <c:valAx>
        <c:axId val="37686304"/>
        <c:scaling>
          <c:orientation val="minMax"/>
          <c:min val="0"/>
        </c:scaling>
        <c:delete val="1"/>
        <c:axPos val="b"/>
        <c:numFmt formatCode="0%" sourceLinked="0"/>
        <c:majorTickMark val="out"/>
        <c:minorTickMark val="none"/>
        <c:tickLblPos val="nextTo"/>
        <c:crossAx val="37688080"/>
        <c:crosses val="autoZero"/>
        <c:crossBetween val="between"/>
      </c:valAx>
      <c:catAx>
        <c:axId val="37688080"/>
        <c:scaling>
          <c:orientation val="minMax"/>
        </c:scaling>
        <c:delete val="1"/>
        <c:axPos val="l"/>
        <c:majorTickMark val="out"/>
        <c:minorTickMark val="none"/>
        <c:tickLblPos val="nextTo"/>
        <c:crossAx val="3768630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12950600801103E-2"/>
          <c:y val="3.4013514268163299E-2"/>
          <c:w val="0.93057409879839803"/>
          <c:h val="0.96598648573183699"/>
        </c:manualLayout>
      </c:layout>
      <c:barChart>
        <c:barDir val="bar"/>
        <c:grouping val="stacked"/>
        <c:varyColors val="0"/>
        <c:ser>
          <c:idx val="0"/>
          <c:order val="0"/>
          <c:spPr>
            <a:solidFill>
              <a:schemeClr val="tx1"/>
            </a:solidFill>
            <a:ln>
              <a:noFill/>
            </a:ln>
            <a:effectLst/>
          </c:spPr>
          <c:invertIfNegative val="0"/>
          <c:cat>
            <c:strRef>
              <c:f>'Intensity Summary'!$B$25:$B$41</c:f>
              <c:strCache>
                <c:ptCount val="17"/>
                <c:pt idx="0">
                  <c:v>Conventional oil</c:v>
                </c:pt>
                <c:pt idx="1">
                  <c:v>Unconventional oil</c:v>
                </c:pt>
                <c:pt idx="2">
                  <c:v>Ethanol</c:v>
                </c:pt>
                <c:pt idx="3">
                  <c:v>Biodiesel</c:v>
                </c:pt>
                <c:pt idx="4">
                  <c:v>Subbituminous coal</c:v>
                </c:pt>
                <c:pt idx="5">
                  <c:v>Bituminous coal</c:v>
                </c:pt>
                <c:pt idx="6">
                  <c:v>Lignite</c:v>
                </c:pt>
                <c:pt idx="7">
                  <c:v>Conventional natural gas</c:v>
                </c:pt>
                <c:pt idx="8">
                  <c:v>Unconventional natural gas</c:v>
                </c:pt>
                <c:pt idx="9">
                  <c:v>Uranium</c:v>
                </c:pt>
                <c:pt idx="10">
                  <c:v>Hydropower</c:v>
                </c:pt>
                <c:pt idx="11">
                  <c:v>Wind</c:v>
                </c:pt>
                <c:pt idx="12">
                  <c:v>Solid biomass and RDF</c:v>
                </c:pt>
                <c:pt idx="13">
                  <c:v>Biogas</c:v>
                </c:pt>
                <c:pt idx="14">
                  <c:v>Geothermal</c:v>
                </c:pt>
                <c:pt idx="15">
                  <c:v>Solar photovoltaic</c:v>
                </c:pt>
                <c:pt idx="16">
                  <c:v>Solar thermal</c:v>
                </c:pt>
              </c:strCache>
            </c:strRef>
          </c:cat>
          <c:val>
            <c:numRef>
              <c:f>'Intensity Summary'!$C$25:$C$41</c:f>
              <c:numCache>
                <c:formatCode>0.0E+00</c:formatCode>
                <c:ptCount val="17"/>
                <c:pt idx="0">
                  <c:v>0.11272437279860113</c:v>
                </c:pt>
                <c:pt idx="1">
                  <c:v>3.5371838048207073E-2</c:v>
                </c:pt>
                <c:pt idx="2">
                  <c:v>2.861506168379909</c:v>
                </c:pt>
                <c:pt idx="3">
                  <c:v>2.3074297067656322</c:v>
                </c:pt>
                <c:pt idx="4">
                  <c:v>0.46176241697560655</c:v>
                </c:pt>
                <c:pt idx="5">
                  <c:v>0.40583469921664739</c:v>
                </c:pt>
                <c:pt idx="6">
                  <c:v>0.54122485073477355</c:v>
                </c:pt>
                <c:pt idx="7">
                  <c:v>5.9481332382347381E-2</c:v>
                </c:pt>
                <c:pt idx="8">
                  <c:v>8.8426151354331239E-2</c:v>
                </c:pt>
                <c:pt idx="9">
                  <c:v>0.60619349569715275</c:v>
                </c:pt>
                <c:pt idx="10">
                  <c:v>2.6474617374230047</c:v>
                </c:pt>
                <c:pt idx="11">
                  <c:v>3.159798147853176E-3</c:v>
                </c:pt>
                <c:pt idx="12">
                  <c:v>0.13923982940011631</c:v>
                </c:pt>
                <c:pt idx="13">
                  <c:v>4.6029006905816468E-2</c:v>
                </c:pt>
                <c:pt idx="14">
                  <c:v>3.101681311262908</c:v>
                </c:pt>
                <c:pt idx="15">
                  <c:v>1.869222155365819E-3</c:v>
                </c:pt>
                <c:pt idx="16">
                  <c:v>0.98650536114099996</c:v>
                </c:pt>
              </c:numCache>
            </c:numRef>
          </c:val>
          <c:extLst>
            <c:ext xmlns:c16="http://schemas.microsoft.com/office/drawing/2014/chart" uri="{C3380CC4-5D6E-409C-BE32-E72D297353CC}">
              <c16:uniqueId val="{00000000-DA25-3046-B04B-CB36B5A6481E}"/>
            </c:ext>
          </c:extLst>
        </c:ser>
        <c:ser>
          <c:idx val="1"/>
          <c:order val="1"/>
          <c:spPr>
            <a:solidFill>
              <a:schemeClr val="bg1">
                <a:lumMod val="75000"/>
              </a:schemeClr>
            </a:solidFill>
            <a:ln>
              <a:noFill/>
            </a:ln>
            <a:effectLst/>
          </c:spPr>
          <c:invertIfNegative val="0"/>
          <c:cat>
            <c:strRef>
              <c:f>'Intensity Summary'!$B$25:$B$41</c:f>
              <c:strCache>
                <c:ptCount val="17"/>
                <c:pt idx="0">
                  <c:v>Conventional oil</c:v>
                </c:pt>
                <c:pt idx="1">
                  <c:v>Unconventional oil</c:v>
                </c:pt>
                <c:pt idx="2">
                  <c:v>Ethanol</c:v>
                </c:pt>
                <c:pt idx="3">
                  <c:v>Biodiesel</c:v>
                </c:pt>
                <c:pt idx="4">
                  <c:v>Subbituminous coal</c:v>
                </c:pt>
                <c:pt idx="5">
                  <c:v>Bituminous coal</c:v>
                </c:pt>
                <c:pt idx="6">
                  <c:v>Lignite</c:v>
                </c:pt>
                <c:pt idx="7">
                  <c:v>Conventional natural gas</c:v>
                </c:pt>
                <c:pt idx="8">
                  <c:v>Unconventional natural gas</c:v>
                </c:pt>
                <c:pt idx="9">
                  <c:v>Uranium</c:v>
                </c:pt>
                <c:pt idx="10">
                  <c:v>Hydropower</c:v>
                </c:pt>
                <c:pt idx="11">
                  <c:v>Wind</c:v>
                </c:pt>
                <c:pt idx="12">
                  <c:v>Solid biomass and RDF</c:v>
                </c:pt>
                <c:pt idx="13">
                  <c:v>Biogas</c:v>
                </c:pt>
                <c:pt idx="14">
                  <c:v>Geothermal</c:v>
                </c:pt>
                <c:pt idx="15">
                  <c:v>Solar photovoltaic</c:v>
                </c:pt>
                <c:pt idx="16">
                  <c:v>Solar thermal</c:v>
                </c:pt>
              </c:strCache>
            </c:strRef>
          </c:cat>
          <c:val>
            <c:numRef>
              <c:f>'Intensity Summary'!$E$25:$E$41</c:f>
              <c:numCache>
                <c:formatCode>0.0E+00</c:formatCode>
                <c:ptCount val="17"/>
                <c:pt idx="0">
                  <c:v>0.1669156656115332</c:v>
                </c:pt>
                <c:pt idx="1">
                  <c:v>8.1495933990231056E-2</c:v>
                </c:pt>
                <c:pt idx="2">
                  <c:v>0.67188134113452991</c:v>
                </c:pt>
                <c:pt idx="3">
                  <c:v>0.5912833016784349</c:v>
                </c:pt>
                <c:pt idx="4">
                  <c:v>21.263880193835657</c:v>
                </c:pt>
                <c:pt idx="5">
                  <c:v>11.529006869006286</c:v>
                </c:pt>
                <c:pt idx="6">
                  <c:v>21.522478987541945</c:v>
                </c:pt>
                <c:pt idx="7">
                  <c:v>0.74171675397647108</c:v>
                </c:pt>
                <c:pt idx="8">
                  <c:v>0.74171012231331468</c:v>
                </c:pt>
                <c:pt idx="9">
                  <c:v>25.309592784971958</c:v>
                </c:pt>
                <c:pt idx="10">
                  <c:v>0</c:v>
                </c:pt>
                <c:pt idx="11">
                  <c:v>2.8438183330678584E-2</c:v>
                </c:pt>
                <c:pt idx="12">
                  <c:v>3.2357705429861587</c:v>
                </c:pt>
                <c:pt idx="13">
                  <c:v>1.6688814639532814</c:v>
                </c:pt>
                <c:pt idx="14">
                  <c:v>3.4557851234287007E-3</c:v>
                </c:pt>
                <c:pt idx="15">
                  <c:v>0</c:v>
                </c:pt>
                <c:pt idx="16">
                  <c:v>0.66039659682792107</c:v>
                </c:pt>
              </c:numCache>
            </c:numRef>
          </c:val>
          <c:extLst>
            <c:ext xmlns:c16="http://schemas.microsoft.com/office/drawing/2014/chart" uri="{C3380CC4-5D6E-409C-BE32-E72D297353CC}">
              <c16:uniqueId val="{00000001-DA25-3046-B04B-CB36B5A6481E}"/>
            </c:ext>
          </c:extLst>
        </c:ser>
        <c:dLbls>
          <c:showLegendKey val="0"/>
          <c:showVal val="0"/>
          <c:showCatName val="0"/>
          <c:showSerName val="0"/>
          <c:showPercent val="0"/>
          <c:showBubbleSize val="0"/>
        </c:dLbls>
        <c:gapWidth val="9"/>
        <c:overlap val="100"/>
        <c:axId val="69464352"/>
        <c:axId val="69466672"/>
      </c:barChart>
      <c:catAx>
        <c:axId val="69464352"/>
        <c:scaling>
          <c:orientation val="maxMin"/>
        </c:scaling>
        <c:delete val="1"/>
        <c:axPos val="l"/>
        <c:numFmt formatCode="General" sourceLinked="1"/>
        <c:majorTickMark val="out"/>
        <c:minorTickMark val="none"/>
        <c:tickLblPos val="nextTo"/>
        <c:crossAx val="69466672"/>
        <c:crosses val="autoZero"/>
        <c:auto val="1"/>
        <c:lblAlgn val="ctr"/>
        <c:lblOffset val="100"/>
        <c:noMultiLvlLbl val="0"/>
      </c:catAx>
      <c:valAx>
        <c:axId val="69466672"/>
        <c:scaling>
          <c:orientation val="minMax"/>
          <c:max val="30"/>
        </c:scaling>
        <c:delete val="1"/>
        <c:axPos val="t"/>
        <c:numFmt formatCode="0.0E+00" sourceLinked="0"/>
        <c:majorTickMark val="out"/>
        <c:minorTickMark val="none"/>
        <c:tickLblPos val="nextTo"/>
        <c:crossAx val="69464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'Unconventional Natural Gas'!$R$13</c:f>
              <c:numCache>
                <c:formatCode>0%</c:formatCode>
                <c:ptCount val="1"/>
                <c:pt idx="0">
                  <c:v>0.5047067321993487</c:v>
                </c:pt>
              </c:numCache>
            </c:numRef>
          </c:val>
          <c:extLst>
            <c:ext xmlns:c16="http://schemas.microsoft.com/office/drawing/2014/chart" uri="{C3380CC4-5D6E-409C-BE32-E72D297353CC}">
              <c16:uniqueId val="{00000000-8441-A74A-B14A-C4DCDA27714F}"/>
            </c:ext>
          </c:extLst>
        </c:ser>
        <c:ser>
          <c:idx val="1"/>
          <c:order val="1"/>
          <c:tx>
            <c:v>Brackish</c:v>
          </c:tx>
          <c:spPr>
            <a:solidFill>
              <a:srgbClr val="98D862"/>
            </a:solidFill>
            <a:ln w="19050">
              <a:solidFill>
                <a:schemeClr val="lt1"/>
              </a:solidFill>
            </a:ln>
            <a:effectLst/>
          </c:spPr>
          <c:invertIfNegative val="0"/>
          <c:val>
            <c:numRef>
              <c:f>'Unconventional Natural Gas'!$S$13</c:f>
              <c:numCache>
                <c:formatCode>0%</c:formatCode>
                <c:ptCount val="1"/>
                <c:pt idx="0">
                  <c:v>0.22328949129242118</c:v>
                </c:pt>
              </c:numCache>
            </c:numRef>
          </c:val>
          <c:extLst>
            <c:ext xmlns:c16="http://schemas.microsoft.com/office/drawing/2014/chart" uri="{C3380CC4-5D6E-409C-BE32-E72D297353CC}">
              <c16:uniqueId val="{00000001-8441-A74A-B14A-C4DCDA27714F}"/>
            </c:ext>
          </c:extLst>
        </c:ser>
        <c:ser>
          <c:idx val="2"/>
          <c:order val="2"/>
          <c:tx>
            <c:v>Saline</c:v>
          </c:tx>
          <c:spPr>
            <a:solidFill>
              <a:srgbClr val="6EB739"/>
            </a:solidFill>
            <a:ln w="19050">
              <a:solidFill>
                <a:schemeClr val="lt1"/>
              </a:solidFill>
            </a:ln>
            <a:effectLst/>
          </c:spPr>
          <c:invertIfNegative val="0"/>
          <c:val>
            <c:numRef>
              <c:f>'Unconventional Natural Gas'!$T$13</c:f>
              <c:numCache>
                <c:formatCode>0%</c:formatCode>
                <c:ptCount val="1"/>
                <c:pt idx="0">
                  <c:v>0.25953227358925945</c:v>
                </c:pt>
              </c:numCache>
            </c:numRef>
          </c:val>
          <c:extLst>
            <c:ext xmlns:c16="http://schemas.microsoft.com/office/drawing/2014/chart" uri="{C3380CC4-5D6E-409C-BE32-E72D297353CC}">
              <c16:uniqueId val="{00000002-8441-A74A-B14A-C4DCDA27714F}"/>
            </c:ext>
          </c:extLst>
        </c:ser>
        <c:ser>
          <c:idx val="3"/>
          <c:order val="3"/>
          <c:tx>
            <c:v>Not RO</c:v>
          </c:tx>
          <c:spPr>
            <a:solidFill>
              <a:srgbClr val="5A9D2C"/>
            </a:solidFill>
            <a:ln w="19050">
              <a:solidFill>
                <a:schemeClr val="lt1"/>
              </a:solidFill>
            </a:ln>
            <a:effectLst/>
          </c:spPr>
          <c:invertIfNegative val="0"/>
          <c:val>
            <c:numRef>
              <c:f>'Unconventional Natural Gas'!$U$13</c:f>
              <c:numCache>
                <c:formatCode>0%</c:formatCode>
                <c:ptCount val="1"/>
                <c:pt idx="0">
                  <c:v>1.2471502918970668E-2</c:v>
                </c:pt>
              </c:numCache>
            </c:numRef>
          </c:val>
          <c:extLst>
            <c:ext xmlns:c16="http://schemas.microsoft.com/office/drawing/2014/chart" uri="{C3380CC4-5D6E-409C-BE32-E72D297353CC}">
              <c16:uniqueId val="{00000003-8441-A74A-B14A-C4DCDA27714F}"/>
            </c:ext>
          </c:extLst>
        </c:ser>
        <c:dLbls>
          <c:showLegendKey val="0"/>
          <c:showVal val="0"/>
          <c:showCatName val="0"/>
          <c:showSerName val="0"/>
          <c:showPercent val="0"/>
          <c:showBubbleSize val="0"/>
        </c:dLbls>
        <c:gapWidth val="0"/>
        <c:overlap val="100"/>
        <c:axId val="-30262160"/>
        <c:axId val="69740272"/>
      </c:barChart>
      <c:valAx>
        <c:axId val="69740272"/>
        <c:scaling>
          <c:orientation val="minMax"/>
        </c:scaling>
        <c:delete val="1"/>
        <c:axPos val="b"/>
        <c:numFmt formatCode="0%" sourceLinked="1"/>
        <c:majorTickMark val="out"/>
        <c:minorTickMark val="none"/>
        <c:tickLblPos val="nextTo"/>
        <c:crossAx val="-30262160"/>
        <c:crosses val="autoZero"/>
        <c:crossBetween val="between"/>
      </c:valAx>
      <c:catAx>
        <c:axId val="-30262160"/>
        <c:scaling>
          <c:orientation val="minMax"/>
        </c:scaling>
        <c:delete val="1"/>
        <c:axPos val="l"/>
        <c:majorTickMark val="out"/>
        <c:minorTickMark val="none"/>
        <c:tickLblPos val="nextTo"/>
        <c:crossAx val="6974027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Uranium!$B$15:$B$31</c:f>
              <c:strCache>
                <c:ptCount val="17"/>
                <c:pt idx="0">
                  <c:v>Drilling</c:v>
                </c:pt>
                <c:pt idx="1">
                  <c:v>In-situ leach operations</c:v>
                </c:pt>
                <c:pt idx="2">
                  <c:v>Underground mining and conventional milling</c:v>
                </c:pt>
                <c:pt idx="5">
                  <c:v>UF6 conversion</c:v>
                </c:pt>
                <c:pt idx="6">
                  <c:v>UF6 enrichment</c:v>
                </c:pt>
                <c:pt idx="7">
                  <c:v>UO2 conversion and fuel fabrication</c:v>
                </c:pt>
                <c:pt idx="8">
                  <c:v>DUF6 deconversion</c:v>
                </c:pt>
                <c:pt idx="11">
                  <c:v>Power plant cooling</c:v>
                </c:pt>
                <c:pt idx="12">
                  <c:v>Nuclear ship cooling</c:v>
                </c:pt>
                <c:pt idx="15">
                  <c:v>On-site spent fuel pool operations</c:v>
                </c:pt>
                <c:pt idx="16">
                  <c:v>Off-site ISFSI (Morris Operation)</c:v>
                </c:pt>
              </c:strCache>
            </c:strRef>
          </c:cat>
          <c:val>
            <c:numRef>
              <c:f>Uranium!$C$15:$C$31</c:f>
              <c:numCache>
                <c:formatCode>0.0E+00</c:formatCode>
                <c:ptCount val="17"/>
                <c:pt idx="0">
                  <c:v>22568.763048038265</c:v>
                </c:pt>
                <c:pt idx="1">
                  <c:v>3044329.5587400002</c:v>
                </c:pt>
                <c:pt idx="2">
                  <c:v>785656.93083172874</c:v>
                </c:pt>
                <c:pt idx="5">
                  <c:v>5098382.8717653649</c:v>
                </c:pt>
                <c:pt idx="6">
                  <c:v>108040</c:v>
                </c:pt>
                <c:pt idx="7">
                  <c:v>1414382.8308808329</c:v>
                </c:pt>
                <c:pt idx="8">
                  <c:v>223850.37021334586</c:v>
                </c:pt>
                <c:pt idx="11">
                  <c:v>1631958102.0485168</c:v>
                </c:pt>
                <c:pt idx="12">
                  <c:v>0</c:v>
                </c:pt>
                <c:pt idx="15">
                  <c:v>9018558.006837463</c:v>
                </c:pt>
                <c:pt idx="16">
                  <c:v>594.22</c:v>
                </c:pt>
              </c:numCache>
            </c:numRef>
          </c:val>
          <c:extLst>
            <c:ext xmlns:c16="http://schemas.microsoft.com/office/drawing/2014/chart" uri="{C3380CC4-5D6E-409C-BE32-E72D297353CC}">
              <c16:uniqueId val="{00000000-39D2-9040-9880-BE4C982FCBCF}"/>
            </c:ext>
          </c:extLst>
        </c:ser>
        <c:dLbls>
          <c:showLegendKey val="0"/>
          <c:showVal val="0"/>
          <c:showCatName val="0"/>
          <c:showSerName val="0"/>
          <c:showPercent val="0"/>
          <c:showBubbleSize val="0"/>
        </c:dLbls>
        <c:gapWidth val="0"/>
        <c:axId val="37701840"/>
        <c:axId val="37704160"/>
      </c:barChart>
      <c:catAx>
        <c:axId val="3770184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7704160"/>
        <c:crosses val="autoZero"/>
        <c:auto val="1"/>
        <c:lblAlgn val="ctr"/>
        <c:lblOffset val="0"/>
        <c:noMultiLvlLbl val="0"/>
      </c:catAx>
      <c:valAx>
        <c:axId val="37704160"/>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7701840"/>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Uranium!$B$15:$B$31</c:f>
              <c:strCache>
                <c:ptCount val="17"/>
                <c:pt idx="0">
                  <c:v>Drilling</c:v>
                </c:pt>
                <c:pt idx="1">
                  <c:v>In-situ leach operations</c:v>
                </c:pt>
                <c:pt idx="2">
                  <c:v>Underground mining and conventional milling</c:v>
                </c:pt>
                <c:pt idx="5">
                  <c:v>UF6 conversion</c:v>
                </c:pt>
                <c:pt idx="6">
                  <c:v>UF6 enrichment</c:v>
                </c:pt>
                <c:pt idx="7">
                  <c:v>UO2 conversion and fuel fabrication</c:v>
                </c:pt>
                <c:pt idx="8">
                  <c:v>DUF6 deconversion</c:v>
                </c:pt>
                <c:pt idx="11">
                  <c:v>Power plant cooling</c:v>
                </c:pt>
                <c:pt idx="12">
                  <c:v>Nuclear ship cooling</c:v>
                </c:pt>
                <c:pt idx="15">
                  <c:v>On-site spent fuel pool operations</c:v>
                </c:pt>
                <c:pt idx="16">
                  <c:v>Off-site ISFSI (Morris Operation)</c:v>
                </c:pt>
              </c:strCache>
            </c:strRef>
          </c:cat>
          <c:val>
            <c:numRef>
              <c:f>Uranium!$O$15:$O$31</c:f>
              <c:numCache>
                <c:formatCode>0.0E+00</c:formatCode>
                <c:ptCount val="17"/>
                <c:pt idx="0">
                  <c:v>22568.763048038265</c:v>
                </c:pt>
                <c:pt idx="1">
                  <c:v>3044329.5587400002</c:v>
                </c:pt>
                <c:pt idx="2">
                  <c:v>785656.93083172874</c:v>
                </c:pt>
                <c:pt idx="5">
                  <c:v>5098382.8717653649</c:v>
                </c:pt>
                <c:pt idx="6">
                  <c:v>108040</c:v>
                </c:pt>
                <c:pt idx="7">
                  <c:v>2200828.2562508327</c:v>
                </c:pt>
                <c:pt idx="8">
                  <c:v>280499.06878851657</c:v>
                </c:pt>
                <c:pt idx="11">
                  <c:v>70591287682.851547</c:v>
                </c:pt>
                <c:pt idx="15">
                  <c:v>9018558.006837463</c:v>
                </c:pt>
                <c:pt idx="16">
                  <c:v>594.22</c:v>
                </c:pt>
              </c:numCache>
            </c:numRef>
          </c:val>
          <c:extLst>
            <c:ext xmlns:c16="http://schemas.microsoft.com/office/drawing/2014/chart" uri="{C3380CC4-5D6E-409C-BE32-E72D297353CC}">
              <c16:uniqueId val="{00000000-F7B0-4A4F-BF09-A8F1B8A8F33B}"/>
            </c:ext>
          </c:extLst>
        </c:ser>
        <c:dLbls>
          <c:showLegendKey val="0"/>
          <c:showVal val="0"/>
          <c:showCatName val="0"/>
          <c:showSerName val="0"/>
          <c:showPercent val="0"/>
          <c:showBubbleSize val="0"/>
        </c:dLbls>
        <c:gapWidth val="0"/>
        <c:axId val="-69173584"/>
        <c:axId val="-69186288"/>
      </c:barChart>
      <c:catAx>
        <c:axId val="-6917358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186288"/>
        <c:crosses val="autoZero"/>
        <c:auto val="1"/>
        <c:lblAlgn val="ctr"/>
        <c:lblOffset val="0"/>
        <c:noMultiLvlLbl val="0"/>
      </c:catAx>
      <c:valAx>
        <c:axId val="-69186288"/>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173584"/>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Uranium!$K$13</c:f>
              <c:numCache>
                <c:formatCode>0%</c:formatCode>
                <c:ptCount val="1"/>
                <c:pt idx="0">
                  <c:v>2.5645605837116024E-2</c:v>
                </c:pt>
              </c:numCache>
            </c:numRef>
          </c:val>
          <c:extLst>
            <c:ext xmlns:c16="http://schemas.microsoft.com/office/drawing/2014/chart" uri="{C3380CC4-5D6E-409C-BE32-E72D297353CC}">
              <c16:uniqueId val="{00000000-FC25-8E43-B54A-B3C11F269C96}"/>
            </c:ext>
          </c:extLst>
        </c:ser>
        <c:ser>
          <c:idx val="0"/>
          <c:order val="1"/>
          <c:tx>
            <c:v>Surface</c:v>
          </c:tx>
          <c:spPr>
            <a:solidFill>
              <a:srgbClr val="335C89"/>
            </a:solidFill>
            <a:ln w="19050">
              <a:solidFill>
                <a:schemeClr val="lt1"/>
              </a:solidFill>
            </a:ln>
            <a:effectLst/>
          </c:spPr>
          <c:invertIfNegative val="0"/>
          <c:val>
            <c:numRef>
              <c:f>Uranium!$L$13</c:f>
              <c:numCache>
                <c:formatCode>0%</c:formatCode>
                <c:ptCount val="1"/>
                <c:pt idx="0">
                  <c:v>0.90071152311790992</c:v>
                </c:pt>
              </c:numCache>
            </c:numRef>
          </c:val>
          <c:extLst>
            <c:ext xmlns:c16="http://schemas.microsoft.com/office/drawing/2014/chart" uri="{C3380CC4-5D6E-409C-BE32-E72D297353CC}">
              <c16:uniqueId val="{00000001-FC25-8E43-B54A-B3C11F269C96}"/>
            </c:ext>
          </c:extLst>
        </c:ser>
        <c:ser>
          <c:idx val="2"/>
          <c:order val="2"/>
          <c:tx>
            <c:v>Reuse</c:v>
          </c:tx>
          <c:spPr>
            <a:solidFill>
              <a:srgbClr val="19416C"/>
            </a:solidFill>
            <a:ln w="19050">
              <a:solidFill>
                <a:schemeClr val="lt1"/>
              </a:solidFill>
            </a:ln>
            <a:effectLst/>
          </c:spPr>
          <c:invertIfNegative val="0"/>
          <c:val>
            <c:numRef>
              <c:f>Uranium!$M$13</c:f>
              <c:numCache>
                <c:formatCode>0%</c:formatCode>
                <c:ptCount val="1"/>
                <c:pt idx="0">
                  <c:v>7.3642871044974093E-2</c:v>
                </c:pt>
              </c:numCache>
            </c:numRef>
          </c:val>
          <c:extLst>
            <c:ext xmlns:c16="http://schemas.microsoft.com/office/drawing/2014/chart" uri="{C3380CC4-5D6E-409C-BE32-E72D297353CC}">
              <c16:uniqueId val="{00000002-FC25-8E43-B54A-B3C11F269C96}"/>
            </c:ext>
          </c:extLst>
        </c:ser>
        <c:dLbls>
          <c:showLegendKey val="0"/>
          <c:showVal val="0"/>
          <c:showCatName val="0"/>
          <c:showSerName val="0"/>
          <c:showPercent val="0"/>
          <c:showBubbleSize val="0"/>
        </c:dLbls>
        <c:gapWidth val="0"/>
        <c:overlap val="100"/>
        <c:axId val="39582272"/>
        <c:axId val="39579952"/>
      </c:barChart>
      <c:valAx>
        <c:axId val="39579952"/>
        <c:scaling>
          <c:orientation val="minMax"/>
          <c:max val="1.2"/>
          <c:min val="0"/>
        </c:scaling>
        <c:delete val="1"/>
        <c:axPos val="b"/>
        <c:numFmt formatCode="0%" sourceLinked="0"/>
        <c:majorTickMark val="out"/>
        <c:minorTickMark val="none"/>
        <c:tickLblPos val="nextTo"/>
        <c:crossAx val="39582272"/>
        <c:crosses val="autoZero"/>
        <c:crossBetween val="between"/>
      </c:valAx>
      <c:catAx>
        <c:axId val="39582272"/>
        <c:scaling>
          <c:orientation val="minMax"/>
        </c:scaling>
        <c:delete val="1"/>
        <c:axPos val="l"/>
        <c:majorTickMark val="out"/>
        <c:minorTickMark val="none"/>
        <c:tickLblPos val="nextTo"/>
        <c:crossAx val="3957995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316C-D141-BB57-C444C0A481EA}"/>
              </c:ext>
            </c:extLst>
          </c:dPt>
          <c:val>
            <c:numRef>
              <c:f>Uranium!$F$13</c:f>
              <c:numCache>
                <c:formatCode>0%</c:formatCode>
                <c:ptCount val="1"/>
                <c:pt idx="0">
                  <c:v>0.86097682054721536</c:v>
                </c:pt>
              </c:numCache>
            </c:numRef>
          </c:val>
          <c:extLst>
            <c:ext xmlns:c16="http://schemas.microsoft.com/office/drawing/2014/chart" uri="{C3380CC4-5D6E-409C-BE32-E72D297353CC}">
              <c16:uniqueId val="{00000002-316C-D141-BB57-C444C0A481EA}"/>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316C-D141-BB57-C444C0A481EA}"/>
              </c:ext>
            </c:extLst>
          </c:dPt>
          <c:val>
            <c:numRef>
              <c:f>Uranium!$G$13</c:f>
              <c:numCache>
                <c:formatCode>0%</c:formatCode>
                <c:ptCount val="1"/>
                <c:pt idx="0">
                  <c:v>6.2768652056126875E-2</c:v>
                </c:pt>
              </c:numCache>
            </c:numRef>
          </c:val>
          <c:extLst>
            <c:ext xmlns:c16="http://schemas.microsoft.com/office/drawing/2014/chart" uri="{C3380CC4-5D6E-409C-BE32-E72D297353CC}">
              <c16:uniqueId val="{00000005-316C-D141-BB57-C444C0A481EA}"/>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316C-D141-BB57-C444C0A481EA}"/>
              </c:ext>
            </c:extLst>
          </c:dPt>
          <c:val>
            <c:numRef>
              <c:f>Uranium!$H$13</c:f>
              <c:numCache>
                <c:formatCode>0%</c:formatCode>
                <c:ptCount val="1"/>
                <c:pt idx="0">
                  <c:v>7.6254527396657723E-2</c:v>
                </c:pt>
              </c:numCache>
            </c:numRef>
          </c:val>
          <c:extLst>
            <c:ext xmlns:c16="http://schemas.microsoft.com/office/drawing/2014/chart" uri="{C3380CC4-5D6E-409C-BE32-E72D297353CC}">
              <c16:uniqueId val="{00000008-316C-D141-BB57-C444C0A481EA}"/>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316C-D141-BB57-C444C0A481EA}"/>
              </c:ext>
            </c:extLst>
          </c:dPt>
          <c:val>
            <c:numRef>
              <c:f>Uranium!$I$13</c:f>
              <c:numCache>
                <c:formatCode>0%</c:formatCode>
                <c:ptCount val="1"/>
                <c:pt idx="0">
                  <c:v>0</c:v>
                </c:pt>
              </c:numCache>
            </c:numRef>
          </c:val>
          <c:extLst>
            <c:ext xmlns:c16="http://schemas.microsoft.com/office/drawing/2014/chart" uri="{C3380CC4-5D6E-409C-BE32-E72D297353CC}">
              <c16:uniqueId val="{0000000B-316C-D141-BB57-C444C0A481EA}"/>
            </c:ext>
          </c:extLst>
        </c:ser>
        <c:dLbls>
          <c:showLegendKey val="0"/>
          <c:showVal val="0"/>
          <c:showCatName val="0"/>
          <c:showSerName val="0"/>
          <c:showPercent val="0"/>
          <c:showBubbleSize val="0"/>
        </c:dLbls>
        <c:gapWidth val="0"/>
        <c:overlap val="100"/>
        <c:axId val="39621840"/>
        <c:axId val="39619008"/>
      </c:barChart>
      <c:valAx>
        <c:axId val="39619008"/>
        <c:scaling>
          <c:orientation val="minMax"/>
          <c:min val="0"/>
        </c:scaling>
        <c:delete val="1"/>
        <c:axPos val="b"/>
        <c:numFmt formatCode="0%" sourceLinked="1"/>
        <c:majorTickMark val="out"/>
        <c:minorTickMark val="none"/>
        <c:tickLblPos val="nextTo"/>
        <c:crossAx val="39621840"/>
        <c:crosses val="autoZero"/>
        <c:crossBetween val="between"/>
      </c:valAx>
      <c:catAx>
        <c:axId val="39621840"/>
        <c:scaling>
          <c:orientation val="minMax"/>
        </c:scaling>
        <c:delete val="1"/>
        <c:axPos val="l"/>
        <c:majorTickMark val="out"/>
        <c:minorTickMark val="none"/>
        <c:tickLblPos val="nextTo"/>
        <c:crossAx val="3961900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Uranium!$W$13</c:f>
              <c:numCache>
                <c:formatCode>0%</c:formatCode>
                <c:ptCount val="1"/>
                <c:pt idx="0">
                  <c:v>8.2083568982983346E-4</c:v>
                </c:pt>
              </c:numCache>
            </c:numRef>
          </c:val>
          <c:extLst>
            <c:ext xmlns:c16="http://schemas.microsoft.com/office/drawing/2014/chart" uri="{C3380CC4-5D6E-409C-BE32-E72D297353CC}">
              <c16:uniqueId val="{00000000-B091-174A-BDAB-BAFC0B80FD12}"/>
            </c:ext>
          </c:extLst>
        </c:ser>
        <c:ser>
          <c:idx val="0"/>
          <c:order val="1"/>
          <c:tx>
            <c:v>Surface</c:v>
          </c:tx>
          <c:spPr>
            <a:solidFill>
              <a:srgbClr val="335C89"/>
            </a:solidFill>
            <a:ln w="19050">
              <a:solidFill>
                <a:schemeClr val="lt1"/>
              </a:solidFill>
            </a:ln>
            <a:effectLst/>
          </c:spPr>
          <c:invertIfNegative val="0"/>
          <c:val>
            <c:numRef>
              <c:f>Uranium!$X$13</c:f>
              <c:numCache>
                <c:formatCode>0%</c:formatCode>
                <c:ptCount val="1"/>
                <c:pt idx="0">
                  <c:v>0.98661097911087692</c:v>
                </c:pt>
              </c:numCache>
            </c:numRef>
          </c:val>
          <c:extLst>
            <c:ext xmlns:c16="http://schemas.microsoft.com/office/drawing/2014/chart" uri="{C3380CC4-5D6E-409C-BE32-E72D297353CC}">
              <c16:uniqueId val="{00000001-B091-174A-BDAB-BAFC0B80FD12}"/>
            </c:ext>
          </c:extLst>
        </c:ser>
        <c:ser>
          <c:idx val="2"/>
          <c:order val="2"/>
          <c:tx>
            <c:v>Reuse</c:v>
          </c:tx>
          <c:spPr>
            <a:solidFill>
              <a:srgbClr val="19416C"/>
            </a:solidFill>
            <a:ln w="19050">
              <a:solidFill>
                <a:schemeClr val="lt1"/>
              </a:solidFill>
            </a:ln>
            <a:effectLst/>
          </c:spPr>
          <c:invertIfNegative val="0"/>
          <c:val>
            <c:numRef>
              <c:f>Uranium!$Y$13</c:f>
              <c:numCache>
                <c:formatCode>0%</c:formatCode>
                <c:ptCount val="1"/>
                <c:pt idx="0">
                  <c:v>1.2568185199293379E-2</c:v>
                </c:pt>
              </c:numCache>
            </c:numRef>
          </c:val>
          <c:extLst>
            <c:ext xmlns:c16="http://schemas.microsoft.com/office/drawing/2014/chart" uri="{C3380CC4-5D6E-409C-BE32-E72D297353CC}">
              <c16:uniqueId val="{00000002-B091-174A-BDAB-BAFC0B80FD12}"/>
            </c:ext>
          </c:extLst>
        </c:ser>
        <c:dLbls>
          <c:showLegendKey val="0"/>
          <c:showVal val="0"/>
          <c:showCatName val="0"/>
          <c:showSerName val="0"/>
          <c:showPercent val="0"/>
          <c:showBubbleSize val="0"/>
        </c:dLbls>
        <c:gapWidth val="0"/>
        <c:overlap val="100"/>
        <c:axId val="38284496"/>
        <c:axId val="6426672"/>
      </c:barChart>
      <c:valAx>
        <c:axId val="6426672"/>
        <c:scaling>
          <c:orientation val="minMax"/>
        </c:scaling>
        <c:delete val="1"/>
        <c:axPos val="b"/>
        <c:numFmt formatCode="0%" sourceLinked="0"/>
        <c:majorTickMark val="out"/>
        <c:minorTickMark val="none"/>
        <c:tickLblPos val="nextTo"/>
        <c:crossAx val="38284496"/>
        <c:crosses val="autoZero"/>
        <c:crossBetween val="between"/>
      </c:valAx>
      <c:catAx>
        <c:axId val="38284496"/>
        <c:scaling>
          <c:orientation val="minMax"/>
        </c:scaling>
        <c:delete val="1"/>
        <c:axPos val="l"/>
        <c:majorTickMark val="out"/>
        <c:minorTickMark val="none"/>
        <c:tickLblPos val="nextTo"/>
        <c:crossAx val="642667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Uranium!$R$13</c:f>
              <c:numCache>
                <c:formatCode>0%</c:formatCode>
                <c:ptCount val="1"/>
                <c:pt idx="0">
                  <c:v>0.73010111931031652</c:v>
                </c:pt>
              </c:numCache>
            </c:numRef>
          </c:val>
          <c:extLst>
            <c:ext xmlns:c16="http://schemas.microsoft.com/office/drawing/2014/chart" uri="{C3380CC4-5D6E-409C-BE32-E72D297353CC}">
              <c16:uniqueId val="{00000000-04F5-544C-97BB-5442E8B376F4}"/>
            </c:ext>
          </c:extLst>
        </c:ser>
        <c:ser>
          <c:idx val="1"/>
          <c:order val="1"/>
          <c:tx>
            <c:v>Brackish</c:v>
          </c:tx>
          <c:spPr>
            <a:solidFill>
              <a:srgbClr val="98D862"/>
            </a:solidFill>
            <a:ln w="19050">
              <a:solidFill>
                <a:schemeClr val="lt1"/>
              </a:solidFill>
            </a:ln>
            <a:effectLst/>
          </c:spPr>
          <c:invertIfNegative val="0"/>
          <c:val>
            <c:numRef>
              <c:f>Uranium!$S$13</c:f>
              <c:numCache>
                <c:formatCode>0%</c:formatCode>
                <c:ptCount val="1"/>
                <c:pt idx="0">
                  <c:v>9.5373608564423465E-2</c:v>
                </c:pt>
              </c:numCache>
            </c:numRef>
          </c:val>
          <c:extLst>
            <c:ext xmlns:c16="http://schemas.microsoft.com/office/drawing/2014/chart" uri="{C3380CC4-5D6E-409C-BE32-E72D297353CC}">
              <c16:uniqueId val="{00000001-04F5-544C-97BB-5442E8B376F4}"/>
            </c:ext>
          </c:extLst>
        </c:ser>
        <c:ser>
          <c:idx val="2"/>
          <c:order val="2"/>
          <c:tx>
            <c:v>Saline</c:v>
          </c:tx>
          <c:spPr>
            <a:solidFill>
              <a:srgbClr val="6EB739"/>
            </a:solidFill>
            <a:ln w="19050">
              <a:solidFill>
                <a:schemeClr val="lt1"/>
              </a:solidFill>
            </a:ln>
            <a:effectLst/>
          </c:spPr>
          <c:invertIfNegative val="0"/>
          <c:val>
            <c:numRef>
              <c:f>Uranium!$T$13</c:f>
              <c:numCache>
                <c:formatCode>0%</c:formatCode>
                <c:ptCount val="1"/>
                <c:pt idx="0">
                  <c:v>0.17452527212526037</c:v>
                </c:pt>
              </c:numCache>
            </c:numRef>
          </c:val>
          <c:extLst>
            <c:ext xmlns:c16="http://schemas.microsoft.com/office/drawing/2014/chart" uri="{C3380CC4-5D6E-409C-BE32-E72D297353CC}">
              <c16:uniqueId val="{00000002-04F5-544C-97BB-5442E8B376F4}"/>
            </c:ext>
          </c:extLst>
        </c:ser>
        <c:ser>
          <c:idx val="3"/>
          <c:order val="3"/>
          <c:tx>
            <c:v>Not RO</c:v>
          </c:tx>
          <c:spPr>
            <a:solidFill>
              <a:srgbClr val="5A9D2C"/>
            </a:solidFill>
            <a:ln w="19050">
              <a:solidFill>
                <a:schemeClr val="lt1"/>
              </a:solidFill>
            </a:ln>
            <a:effectLst/>
          </c:spPr>
          <c:invertIfNegative val="0"/>
          <c:val>
            <c:numRef>
              <c:f>Uranium!$U$13</c:f>
              <c:numCache>
                <c:formatCode>0%</c:formatCode>
                <c:ptCount val="1"/>
                <c:pt idx="0">
                  <c:v>0</c:v>
                </c:pt>
              </c:numCache>
            </c:numRef>
          </c:val>
          <c:extLst>
            <c:ext xmlns:c16="http://schemas.microsoft.com/office/drawing/2014/chart" uri="{C3380CC4-5D6E-409C-BE32-E72D297353CC}">
              <c16:uniqueId val="{00000003-04F5-544C-97BB-5442E8B376F4}"/>
            </c:ext>
          </c:extLst>
        </c:ser>
        <c:dLbls>
          <c:showLegendKey val="0"/>
          <c:showVal val="0"/>
          <c:showCatName val="0"/>
          <c:showSerName val="0"/>
          <c:showPercent val="0"/>
          <c:showBubbleSize val="0"/>
        </c:dLbls>
        <c:gapWidth val="0"/>
        <c:overlap val="100"/>
        <c:axId val="68002032"/>
        <c:axId val="67999200"/>
      </c:barChart>
      <c:valAx>
        <c:axId val="67999200"/>
        <c:scaling>
          <c:orientation val="minMax"/>
        </c:scaling>
        <c:delete val="1"/>
        <c:axPos val="b"/>
        <c:numFmt formatCode="0%" sourceLinked="1"/>
        <c:majorTickMark val="out"/>
        <c:minorTickMark val="none"/>
        <c:tickLblPos val="nextTo"/>
        <c:crossAx val="68002032"/>
        <c:crosses val="autoZero"/>
        <c:crossBetween val="between"/>
      </c:valAx>
      <c:catAx>
        <c:axId val="68002032"/>
        <c:scaling>
          <c:orientation val="minMax"/>
        </c:scaling>
        <c:delete val="1"/>
        <c:axPos val="l"/>
        <c:majorTickMark val="out"/>
        <c:minorTickMark val="none"/>
        <c:tickLblPos val="nextTo"/>
        <c:crossAx val="679992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Hydropower!$B$15:$B$19</c:f>
              <c:strCache>
                <c:ptCount val="5"/>
                <c:pt idx="0">
                  <c:v>Evaporation</c:v>
                </c:pt>
                <c:pt idx="1">
                  <c:v>Seepage</c:v>
                </c:pt>
                <c:pt idx="4">
                  <c:v>Flow through turbines</c:v>
                </c:pt>
              </c:strCache>
            </c:strRef>
          </c:cat>
          <c:val>
            <c:numRef>
              <c:f>Hydropower!$C$15:$C$19</c:f>
              <c:numCache>
                <c:formatCode>0.0E+00</c:formatCode>
                <c:ptCount val="5"/>
                <c:pt idx="0">
                  <c:v>1600000000</c:v>
                </c:pt>
                <c:pt idx="1">
                  <c:v>746976960</c:v>
                </c:pt>
                <c:pt idx="4" formatCode="0">
                  <c:v>0</c:v>
                </c:pt>
              </c:numCache>
            </c:numRef>
          </c:val>
          <c:extLst>
            <c:ext xmlns:c16="http://schemas.microsoft.com/office/drawing/2014/chart" uri="{C3380CC4-5D6E-409C-BE32-E72D297353CC}">
              <c16:uniqueId val="{00000000-A622-4042-AC43-3B5EC881470D}"/>
            </c:ext>
          </c:extLst>
        </c:ser>
        <c:dLbls>
          <c:showLegendKey val="0"/>
          <c:showVal val="0"/>
          <c:showCatName val="0"/>
          <c:showSerName val="0"/>
          <c:showPercent val="0"/>
          <c:showBubbleSize val="0"/>
        </c:dLbls>
        <c:gapWidth val="0"/>
        <c:axId val="37640896"/>
        <c:axId val="37643216"/>
      </c:barChart>
      <c:catAx>
        <c:axId val="3764089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7643216"/>
        <c:crosses val="autoZero"/>
        <c:auto val="1"/>
        <c:lblAlgn val="ctr"/>
        <c:lblOffset val="0"/>
        <c:noMultiLvlLbl val="0"/>
      </c:catAx>
      <c:valAx>
        <c:axId val="37643216"/>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7640896"/>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Hydropower!$B$15:$B$19</c:f>
              <c:strCache>
                <c:ptCount val="5"/>
                <c:pt idx="0">
                  <c:v>Evaporation</c:v>
                </c:pt>
                <c:pt idx="1">
                  <c:v>Seepage</c:v>
                </c:pt>
                <c:pt idx="4">
                  <c:v>Flow through turbines</c:v>
                </c:pt>
              </c:strCache>
            </c:strRef>
          </c:cat>
          <c:val>
            <c:numRef>
              <c:f>Hydropower!$O$15:$O$19</c:f>
              <c:numCache>
                <c:formatCode>0.0E+00</c:formatCode>
                <c:ptCount val="5"/>
                <c:pt idx="0">
                  <c:v>1600000000</c:v>
                </c:pt>
                <c:pt idx="1">
                  <c:v>746976960</c:v>
                </c:pt>
                <c:pt idx="4">
                  <c:v>20000000000000</c:v>
                </c:pt>
              </c:numCache>
            </c:numRef>
          </c:val>
          <c:extLst>
            <c:ext xmlns:c16="http://schemas.microsoft.com/office/drawing/2014/chart" uri="{C3380CC4-5D6E-409C-BE32-E72D297353CC}">
              <c16:uniqueId val="{00000000-C109-2049-9A30-5BE3707A8536}"/>
            </c:ext>
          </c:extLst>
        </c:ser>
        <c:dLbls>
          <c:showLegendKey val="0"/>
          <c:showVal val="0"/>
          <c:showCatName val="0"/>
          <c:showSerName val="0"/>
          <c:showPercent val="0"/>
          <c:showBubbleSize val="0"/>
        </c:dLbls>
        <c:gapWidth val="0"/>
        <c:axId val="37661744"/>
        <c:axId val="37664064"/>
      </c:barChart>
      <c:catAx>
        <c:axId val="376617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7664064"/>
        <c:crosses val="autoZero"/>
        <c:auto val="1"/>
        <c:lblAlgn val="ctr"/>
        <c:lblOffset val="0"/>
        <c:noMultiLvlLbl val="0"/>
      </c:catAx>
      <c:valAx>
        <c:axId val="37664064"/>
        <c:scaling>
          <c:orientation val="minMax"/>
          <c:max val="200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7661744"/>
        <c:crosses val="max"/>
        <c:crossBetween val="between"/>
        <c:majorUnit val="1000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Hydropower!$K$13</c:f>
              <c:numCache>
                <c:formatCode>0%</c:formatCode>
                <c:ptCount val="1"/>
                <c:pt idx="0">
                  <c:v>0</c:v>
                </c:pt>
              </c:numCache>
            </c:numRef>
          </c:val>
          <c:extLst>
            <c:ext xmlns:c16="http://schemas.microsoft.com/office/drawing/2014/chart" uri="{C3380CC4-5D6E-409C-BE32-E72D297353CC}">
              <c16:uniqueId val="{00000000-17CA-6C46-8029-B07E9357CECC}"/>
            </c:ext>
          </c:extLst>
        </c:ser>
        <c:ser>
          <c:idx val="0"/>
          <c:order val="1"/>
          <c:tx>
            <c:v>Surface</c:v>
          </c:tx>
          <c:spPr>
            <a:solidFill>
              <a:srgbClr val="335C89"/>
            </a:solidFill>
            <a:ln w="19050">
              <a:solidFill>
                <a:schemeClr val="lt1"/>
              </a:solidFill>
            </a:ln>
            <a:effectLst/>
          </c:spPr>
          <c:invertIfNegative val="0"/>
          <c:val>
            <c:numRef>
              <c:f>Hydropower!$L$13</c:f>
              <c:numCache>
                <c:formatCode>0%</c:formatCode>
                <c:ptCount val="1"/>
                <c:pt idx="0">
                  <c:v>1</c:v>
                </c:pt>
              </c:numCache>
            </c:numRef>
          </c:val>
          <c:extLst>
            <c:ext xmlns:c16="http://schemas.microsoft.com/office/drawing/2014/chart" uri="{C3380CC4-5D6E-409C-BE32-E72D297353CC}">
              <c16:uniqueId val="{00000001-17CA-6C46-8029-B07E9357CECC}"/>
            </c:ext>
          </c:extLst>
        </c:ser>
        <c:ser>
          <c:idx val="2"/>
          <c:order val="2"/>
          <c:tx>
            <c:v>Reuse</c:v>
          </c:tx>
          <c:spPr>
            <a:solidFill>
              <a:srgbClr val="19416C"/>
            </a:solidFill>
            <a:ln w="19050">
              <a:solidFill>
                <a:schemeClr val="lt1"/>
              </a:solidFill>
            </a:ln>
            <a:effectLst/>
          </c:spPr>
          <c:invertIfNegative val="0"/>
          <c:val>
            <c:numRef>
              <c:f>Hydropower!$M$13</c:f>
              <c:numCache>
                <c:formatCode>0%</c:formatCode>
                <c:ptCount val="1"/>
                <c:pt idx="0">
                  <c:v>0</c:v>
                </c:pt>
              </c:numCache>
            </c:numRef>
          </c:val>
          <c:extLst>
            <c:ext xmlns:c16="http://schemas.microsoft.com/office/drawing/2014/chart" uri="{C3380CC4-5D6E-409C-BE32-E72D297353CC}">
              <c16:uniqueId val="{00000002-17CA-6C46-8029-B07E9357CECC}"/>
            </c:ext>
          </c:extLst>
        </c:ser>
        <c:dLbls>
          <c:showLegendKey val="0"/>
          <c:showVal val="0"/>
          <c:showCatName val="0"/>
          <c:showSerName val="0"/>
          <c:showPercent val="0"/>
          <c:showBubbleSize val="0"/>
        </c:dLbls>
        <c:gapWidth val="0"/>
        <c:overlap val="100"/>
        <c:axId val="69677584"/>
        <c:axId val="69675264"/>
      </c:barChart>
      <c:valAx>
        <c:axId val="69675264"/>
        <c:scaling>
          <c:orientation val="minMax"/>
        </c:scaling>
        <c:delete val="1"/>
        <c:axPos val="b"/>
        <c:numFmt formatCode="0%" sourceLinked="1"/>
        <c:majorTickMark val="out"/>
        <c:minorTickMark val="none"/>
        <c:tickLblPos val="nextTo"/>
        <c:crossAx val="69677584"/>
        <c:crosses val="autoZero"/>
        <c:crossBetween val="between"/>
      </c:valAx>
      <c:catAx>
        <c:axId val="69677584"/>
        <c:scaling>
          <c:orientation val="minMax"/>
        </c:scaling>
        <c:delete val="1"/>
        <c:axPos val="l"/>
        <c:majorTickMark val="out"/>
        <c:minorTickMark val="none"/>
        <c:tickLblPos val="nextTo"/>
        <c:crossAx val="6967526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1850547290201"/>
          <c:y val="6.8733960338291003E-2"/>
          <c:w val="0.72000020478584503"/>
          <c:h val="0.83437518226888296"/>
        </c:manualLayout>
      </c:layout>
      <c:barChart>
        <c:barDir val="bar"/>
        <c:grouping val="clustered"/>
        <c:varyColors val="0"/>
        <c:ser>
          <c:idx val="0"/>
          <c:order val="0"/>
          <c:spPr>
            <a:solidFill>
              <a:schemeClr val="tx1"/>
            </a:solidFill>
            <a:ln>
              <a:noFill/>
            </a:ln>
            <a:effectLst/>
          </c:spPr>
          <c:invertIfNegative val="0"/>
          <c:cat>
            <c:strRef>
              <c:f>Oil!$B$15:$B$32</c:f>
              <c:strCache>
                <c:ptCount val="18"/>
                <c:pt idx="0">
                  <c:v>Drilling</c:v>
                </c:pt>
                <c:pt idx="1">
                  <c:v>Hydraulic fracturing</c:v>
                </c:pt>
                <c:pt idx="2">
                  <c:v>Water and steam flooding</c:v>
                </c:pt>
                <c:pt idx="3">
                  <c:v>Produced water</c:v>
                </c:pt>
                <c:pt idx="6">
                  <c:v>Hydrostatic pipeline tests</c:v>
                </c:pt>
                <c:pt idx="7">
                  <c:v>Salt cavern storage</c:v>
                </c:pt>
                <c:pt idx="8">
                  <c:v>Tanker ship ballast</c:v>
                </c:pt>
                <c:pt idx="11">
                  <c:v>Refining</c:v>
                </c:pt>
                <c:pt idx="12">
                  <c:v>Oil-fired power plant cooling</c:v>
                </c:pt>
                <c:pt idx="13">
                  <c:v>Non-steam use</c:v>
                </c:pt>
                <c:pt idx="14">
                  <c:v>Ship cooling</c:v>
                </c:pt>
                <c:pt idx="17">
                  <c:v>Combustion</c:v>
                </c:pt>
              </c:strCache>
            </c:strRef>
          </c:cat>
          <c:val>
            <c:numRef>
              <c:f>Oil!$C$15:$C$32</c:f>
              <c:numCache>
                <c:formatCode>0.0E+00</c:formatCode>
                <c:ptCount val="18"/>
                <c:pt idx="0">
                  <c:v>16393017.535607932</c:v>
                </c:pt>
                <c:pt idx="1">
                  <c:v>121846153.84615384</c:v>
                </c:pt>
                <c:pt idx="2">
                  <c:v>133354781.33768377</c:v>
                </c:pt>
                <c:pt idx="3">
                  <c:v>2305273380.7681537</c:v>
                </c:pt>
                <c:pt idx="6" formatCode="General">
                  <c:v>0</c:v>
                </c:pt>
                <c:pt idx="7">
                  <c:v>539390.1489957606</c:v>
                </c:pt>
                <c:pt idx="8">
                  <c:v>121000000</c:v>
                </c:pt>
                <c:pt idx="11">
                  <c:v>440047808.30005944</c:v>
                </c:pt>
                <c:pt idx="12">
                  <c:v>35667894.066996925</c:v>
                </c:pt>
                <c:pt idx="13" formatCode="General">
                  <c:v>0</c:v>
                </c:pt>
                <c:pt idx="14" formatCode="General">
                  <c:v>0</c:v>
                </c:pt>
                <c:pt idx="17">
                  <c:v>-1106582190.2973397</c:v>
                </c:pt>
              </c:numCache>
            </c:numRef>
          </c:val>
          <c:extLst>
            <c:ext xmlns:c16="http://schemas.microsoft.com/office/drawing/2014/chart" uri="{C3380CC4-5D6E-409C-BE32-E72D297353CC}">
              <c16:uniqueId val="{00000000-4DDF-7C4F-BED4-25B24A42D0C9}"/>
            </c:ext>
          </c:extLst>
        </c:ser>
        <c:dLbls>
          <c:showLegendKey val="0"/>
          <c:showVal val="0"/>
          <c:showCatName val="0"/>
          <c:showSerName val="0"/>
          <c:showPercent val="0"/>
          <c:showBubbleSize val="0"/>
        </c:dLbls>
        <c:gapWidth val="0"/>
        <c:axId val="69392016"/>
        <c:axId val="69394336"/>
      </c:barChart>
      <c:catAx>
        <c:axId val="6939201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394336"/>
        <c:crosses val="autoZero"/>
        <c:auto val="1"/>
        <c:lblAlgn val="ctr"/>
        <c:lblOffset val="0"/>
        <c:noMultiLvlLbl val="0"/>
      </c:catAx>
      <c:valAx>
        <c:axId val="69394336"/>
        <c:scaling>
          <c:orientation val="minMax"/>
          <c:max val="5000000000"/>
          <c:min val="-2000000000"/>
        </c:scaling>
        <c:delete val="0"/>
        <c:axPos val="b"/>
        <c:numFmt formatCode="0.0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9392016"/>
        <c:crosses val="max"/>
        <c:crossBetween val="between"/>
        <c:majorUnit val="2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442C-0A45-817A-22A7F295DAA3}"/>
              </c:ext>
            </c:extLst>
          </c:dPt>
          <c:val>
            <c:numRef>
              <c:f>Hydropower!$F$13</c:f>
              <c:numCache>
                <c:formatCode>0%</c:formatCode>
                <c:ptCount val="1"/>
                <c:pt idx="0">
                  <c:v>1</c:v>
                </c:pt>
              </c:numCache>
            </c:numRef>
          </c:val>
          <c:extLst>
            <c:ext xmlns:c16="http://schemas.microsoft.com/office/drawing/2014/chart" uri="{C3380CC4-5D6E-409C-BE32-E72D297353CC}">
              <c16:uniqueId val="{00000002-442C-0A45-817A-22A7F295DAA3}"/>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442C-0A45-817A-22A7F295DAA3}"/>
              </c:ext>
            </c:extLst>
          </c:dPt>
          <c:val>
            <c:numRef>
              <c:f>Hydropower!$G$13</c:f>
              <c:numCache>
                <c:formatCode>0%</c:formatCode>
                <c:ptCount val="1"/>
                <c:pt idx="0">
                  <c:v>0</c:v>
                </c:pt>
              </c:numCache>
            </c:numRef>
          </c:val>
          <c:extLst>
            <c:ext xmlns:c16="http://schemas.microsoft.com/office/drawing/2014/chart" uri="{C3380CC4-5D6E-409C-BE32-E72D297353CC}">
              <c16:uniqueId val="{00000005-442C-0A45-817A-22A7F295DAA3}"/>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442C-0A45-817A-22A7F295DAA3}"/>
              </c:ext>
            </c:extLst>
          </c:dPt>
          <c:val>
            <c:numRef>
              <c:f>Hydropower!$H$13</c:f>
              <c:numCache>
                <c:formatCode>0%</c:formatCode>
                <c:ptCount val="1"/>
                <c:pt idx="0">
                  <c:v>0</c:v>
                </c:pt>
              </c:numCache>
            </c:numRef>
          </c:val>
          <c:extLst>
            <c:ext xmlns:c16="http://schemas.microsoft.com/office/drawing/2014/chart" uri="{C3380CC4-5D6E-409C-BE32-E72D297353CC}">
              <c16:uniqueId val="{00000008-442C-0A45-817A-22A7F295DAA3}"/>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442C-0A45-817A-22A7F295DAA3}"/>
              </c:ext>
            </c:extLst>
          </c:dPt>
          <c:val>
            <c:numRef>
              <c:f>Hydropower!$I$13</c:f>
              <c:numCache>
                <c:formatCode>0%</c:formatCode>
                <c:ptCount val="1"/>
                <c:pt idx="0">
                  <c:v>0</c:v>
                </c:pt>
              </c:numCache>
            </c:numRef>
          </c:val>
          <c:extLst>
            <c:ext xmlns:c16="http://schemas.microsoft.com/office/drawing/2014/chart" uri="{C3380CC4-5D6E-409C-BE32-E72D297353CC}">
              <c16:uniqueId val="{0000000B-442C-0A45-817A-22A7F295DAA3}"/>
            </c:ext>
          </c:extLst>
        </c:ser>
        <c:dLbls>
          <c:showLegendKey val="0"/>
          <c:showVal val="0"/>
          <c:showCatName val="0"/>
          <c:showSerName val="0"/>
          <c:showPercent val="0"/>
          <c:showBubbleSize val="0"/>
        </c:dLbls>
        <c:gapWidth val="0"/>
        <c:overlap val="100"/>
        <c:axId val="69638784"/>
        <c:axId val="69635952"/>
      </c:barChart>
      <c:valAx>
        <c:axId val="69635952"/>
        <c:scaling>
          <c:orientation val="minMax"/>
        </c:scaling>
        <c:delete val="1"/>
        <c:axPos val="b"/>
        <c:numFmt formatCode="0%" sourceLinked="0"/>
        <c:majorTickMark val="out"/>
        <c:minorTickMark val="none"/>
        <c:tickLblPos val="nextTo"/>
        <c:crossAx val="69638784"/>
        <c:crosses val="autoZero"/>
        <c:crossBetween val="between"/>
      </c:valAx>
      <c:catAx>
        <c:axId val="69638784"/>
        <c:scaling>
          <c:orientation val="minMax"/>
        </c:scaling>
        <c:delete val="1"/>
        <c:axPos val="l"/>
        <c:majorTickMark val="out"/>
        <c:minorTickMark val="none"/>
        <c:tickLblPos val="nextTo"/>
        <c:crossAx val="6963595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Hydropower!$W$13</c:f>
              <c:numCache>
                <c:formatCode>0%</c:formatCode>
                <c:ptCount val="1"/>
                <c:pt idx="0">
                  <c:v>0</c:v>
                </c:pt>
              </c:numCache>
            </c:numRef>
          </c:val>
          <c:extLst>
            <c:ext xmlns:c16="http://schemas.microsoft.com/office/drawing/2014/chart" uri="{C3380CC4-5D6E-409C-BE32-E72D297353CC}">
              <c16:uniqueId val="{00000000-EA62-5643-A3B9-0D03385A1548}"/>
            </c:ext>
          </c:extLst>
        </c:ser>
        <c:ser>
          <c:idx val="0"/>
          <c:order val="1"/>
          <c:tx>
            <c:v>Surface</c:v>
          </c:tx>
          <c:spPr>
            <a:solidFill>
              <a:srgbClr val="335C89"/>
            </a:solidFill>
            <a:ln w="19050">
              <a:solidFill>
                <a:schemeClr val="lt1"/>
              </a:solidFill>
            </a:ln>
            <a:effectLst/>
          </c:spPr>
          <c:invertIfNegative val="0"/>
          <c:val>
            <c:numRef>
              <c:f>Hydropower!$X$13</c:f>
              <c:numCache>
                <c:formatCode>0%</c:formatCode>
                <c:ptCount val="1"/>
                <c:pt idx="0">
                  <c:v>1</c:v>
                </c:pt>
              </c:numCache>
            </c:numRef>
          </c:val>
          <c:extLst>
            <c:ext xmlns:c16="http://schemas.microsoft.com/office/drawing/2014/chart" uri="{C3380CC4-5D6E-409C-BE32-E72D297353CC}">
              <c16:uniqueId val="{00000001-EA62-5643-A3B9-0D03385A1548}"/>
            </c:ext>
          </c:extLst>
        </c:ser>
        <c:ser>
          <c:idx val="2"/>
          <c:order val="2"/>
          <c:tx>
            <c:v>Reuse</c:v>
          </c:tx>
          <c:spPr>
            <a:solidFill>
              <a:srgbClr val="19416C"/>
            </a:solidFill>
            <a:ln w="19050">
              <a:solidFill>
                <a:schemeClr val="lt1"/>
              </a:solidFill>
            </a:ln>
            <a:effectLst/>
          </c:spPr>
          <c:invertIfNegative val="0"/>
          <c:val>
            <c:numRef>
              <c:f>Hydropower!$Y$13</c:f>
              <c:numCache>
                <c:formatCode>0%</c:formatCode>
                <c:ptCount val="1"/>
                <c:pt idx="0">
                  <c:v>0</c:v>
                </c:pt>
              </c:numCache>
            </c:numRef>
          </c:val>
          <c:extLst>
            <c:ext xmlns:c16="http://schemas.microsoft.com/office/drawing/2014/chart" uri="{C3380CC4-5D6E-409C-BE32-E72D297353CC}">
              <c16:uniqueId val="{00000002-EA62-5643-A3B9-0D03385A1548}"/>
            </c:ext>
          </c:extLst>
        </c:ser>
        <c:dLbls>
          <c:showLegendKey val="0"/>
          <c:showVal val="0"/>
          <c:showCatName val="0"/>
          <c:showSerName val="0"/>
          <c:showPercent val="0"/>
          <c:showBubbleSize val="0"/>
        </c:dLbls>
        <c:gapWidth val="0"/>
        <c:overlap val="100"/>
        <c:axId val="41081696"/>
        <c:axId val="41079376"/>
      </c:barChart>
      <c:valAx>
        <c:axId val="41079376"/>
        <c:scaling>
          <c:orientation val="minMax"/>
        </c:scaling>
        <c:delete val="1"/>
        <c:axPos val="b"/>
        <c:numFmt formatCode="0%" sourceLinked="0"/>
        <c:majorTickMark val="out"/>
        <c:minorTickMark val="none"/>
        <c:tickLblPos val="nextTo"/>
        <c:crossAx val="41081696"/>
        <c:crosses val="autoZero"/>
        <c:crossBetween val="between"/>
      </c:valAx>
      <c:catAx>
        <c:axId val="41081696"/>
        <c:scaling>
          <c:orientation val="minMax"/>
        </c:scaling>
        <c:delete val="1"/>
        <c:axPos val="l"/>
        <c:majorTickMark val="out"/>
        <c:minorTickMark val="none"/>
        <c:tickLblPos val="nextTo"/>
        <c:crossAx val="4107937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Hydropower!$R$13</c:f>
              <c:numCache>
                <c:formatCode>0%</c:formatCode>
                <c:ptCount val="1"/>
                <c:pt idx="0">
                  <c:v>1</c:v>
                </c:pt>
              </c:numCache>
            </c:numRef>
          </c:val>
          <c:extLst>
            <c:ext xmlns:c16="http://schemas.microsoft.com/office/drawing/2014/chart" uri="{C3380CC4-5D6E-409C-BE32-E72D297353CC}">
              <c16:uniqueId val="{00000000-3D3B-AF40-8F11-8F63FB287436}"/>
            </c:ext>
          </c:extLst>
        </c:ser>
        <c:ser>
          <c:idx val="1"/>
          <c:order val="1"/>
          <c:tx>
            <c:v>Brackish</c:v>
          </c:tx>
          <c:spPr>
            <a:solidFill>
              <a:srgbClr val="98D862"/>
            </a:solidFill>
            <a:ln w="19050">
              <a:solidFill>
                <a:schemeClr val="lt1"/>
              </a:solidFill>
            </a:ln>
            <a:effectLst/>
          </c:spPr>
          <c:invertIfNegative val="0"/>
          <c:val>
            <c:numRef>
              <c:f>Hydropower!$S$13</c:f>
              <c:numCache>
                <c:formatCode>0%</c:formatCode>
                <c:ptCount val="1"/>
                <c:pt idx="0">
                  <c:v>0</c:v>
                </c:pt>
              </c:numCache>
            </c:numRef>
          </c:val>
          <c:extLst>
            <c:ext xmlns:c16="http://schemas.microsoft.com/office/drawing/2014/chart" uri="{C3380CC4-5D6E-409C-BE32-E72D297353CC}">
              <c16:uniqueId val="{00000001-3D3B-AF40-8F11-8F63FB287436}"/>
            </c:ext>
          </c:extLst>
        </c:ser>
        <c:ser>
          <c:idx val="2"/>
          <c:order val="2"/>
          <c:tx>
            <c:v>Saline</c:v>
          </c:tx>
          <c:spPr>
            <a:solidFill>
              <a:srgbClr val="6EB739"/>
            </a:solidFill>
            <a:ln w="19050">
              <a:solidFill>
                <a:schemeClr val="lt1"/>
              </a:solidFill>
            </a:ln>
            <a:effectLst/>
          </c:spPr>
          <c:invertIfNegative val="0"/>
          <c:val>
            <c:numRef>
              <c:f>Hydropower!$T$13</c:f>
              <c:numCache>
                <c:formatCode>0%</c:formatCode>
                <c:ptCount val="1"/>
                <c:pt idx="0">
                  <c:v>0</c:v>
                </c:pt>
              </c:numCache>
            </c:numRef>
          </c:val>
          <c:extLst>
            <c:ext xmlns:c16="http://schemas.microsoft.com/office/drawing/2014/chart" uri="{C3380CC4-5D6E-409C-BE32-E72D297353CC}">
              <c16:uniqueId val="{00000002-3D3B-AF40-8F11-8F63FB287436}"/>
            </c:ext>
          </c:extLst>
        </c:ser>
        <c:ser>
          <c:idx val="3"/>
          <c:order val="3"/>
          <c:tx>
            <c:v>Not RO</c:v>
          </c:tx>
          <c:spPr>
            <a:solidFill>
              <a:srgbClr val="5A9D2C"/>
            </a:solidFill>
            <a:ln w="19050">
              <a:solidFill>
                <a:schemeClr val="lt1"/>
              </a:solidFill>
            </a:ln>
            <a:effectLst/>
          </c:spPr>
          <c:invertIfNegative val="0"/>
          <c:val>
            <c:numRef>
              <c:f>Hydropower!$U$13</c:f>
              <c:numCache>
                <c:formatCode>0%</c:formatCode>
                <c:ptCount val="1"/>
                <c:pt idx="0">
                  <c:v>0</c:v>
                </c:pt>
              </c:numCache>
            </c:numRef>
          </c:val>
          <c:extLst>
            <c:ext xmlns:c16="http://schemas.microsoft.com/office/drawing/2014/chart" uri="{C3380CC4-5D6E-409C-BE32-E72D297353CC}">
              <c16:uniqueId val="{00000003-3D3B-AF40-8F11-8F63FB287436}"/>
            </c:ext>
          </c:extLst>
        </c:ser>
        <c:dLbls>
          <c:showLegendKey val="0"/>
          <c:showVal val="0"/>
          <c:showCatName val="0"/>
          <c:showSerName val="0"/>
          <c:showPercent val="0"/>
          <c:showBubbleSize val="0"/>
        </c:dLbls>
        <c:gapWidth val="0"/>
        <c:overlap val="100"/>
        <c:axId val="41114832"/>
        <c:axId val="41112000"/>
      </c:barChart>
      <c:valAx>
        <c:axId val="41112000"/>
        <c:scaling>
          <c:orientation val="minMax"/>
        </c:scaling>
        <c:delete val="1"/>
        <c:axPos val="b"/>
        <c:numFmt formatCode="0%" sourceLinked="0"/>
        <c:majorTickMark val="out"/>
        <c:minorTickMark val="none"/>
        <c:tickLblPos val="nextTo"/>
        <c:crossAx val="41114832"/>
        <c:crosses val="autoZero"/>
        <c:crossBetween val="between"/>
      </c:valAx>
      <c:catAx>
        <c:axId val="41114832"/>
        <c:scaling>
          <c:orientation val="minMax"/>
        </c:scaling>
        <c:delete val="1"/>
        <c:axPos val="l"/>
        <c:majorTickMark val="out"/>
        <c:minorTickMark val="none"/>
        <c:tickLblPos val="nextTo"/>
        <c:crossAx val="4111200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tx1"/>
            </a:solidFill>
            <a:ln>
              <a:noFill/>
            </a:ln>
            <a:effectLst/>
          </c:spPr>
          <c:invertIfNegative val="0"/>
          <c:cat>
            <c:strRef>
              <c:f>Wind!$B$15</c:f>
              <c:strCache>
                <c:ptCount val="1"/>
                <c:pt idx="0">
                  <c:v>Blade washing</c:v>
                </c:pt>
              </c:strCache>
            </c:strRef>
          </c:cat>
          <c:val>
            <c:numRef>
              <c:f>Wind!$C$15</c:f>
              <c:numCache>
                <c:formatCode>0.0E+00</c:formatCode>
                <c:ptCount val="1"/>
                <c:pt idx="0">
                  <c:v>1961874</c:v>
                </c:pt>
              </c:numCache>
            </c:numRef>
          </c:val>
          <c:extLst>
            <c:ext xmlns:c16="http://schemas.microsoft.com/office/drawing/2014/chart" uri="{C3380CC4-5D6E-409C-BE32-E72D297353CC}">
              <c16:uniqueId val="{00000000-31F9-594D-A593-AFE65637EAF4}"/>
            </c:ext>
          </c:extLst>
        </c:ser>
        <c:dLbls>
          <c:showLegendKey val="0"/>
          <c:showVal val="0"/>
          <c:showCatName val="0"/>
          <c:showSerName val="0"/>
          <c:showPercent val="0"/>
          <c:showBubbleSize val="0"/>
        </c:dLbls>
        <c:gapWidth val="0"/>
        <c:axId val="68015344"/>
        <c:axId val="38280384"/>
      </c:barChart>
      <c:catAx>
        <c:axId val="68015344"/>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8280384"/>
        <c:crosses val="autoZero"/>
        <c:auto val="1"/>
        <c:lblAlgn val="ctr"/>
        <c:lblOffset val="0"/>
        <c:noMultiLvlLbl val="0"/>
      </c:catAx>
      <c:valAx>
        <c:axId val="38280384"/>
        <c:scaling>
          <c:orientation val="minMax"/>
          <c:max val="100000000000"/>
          <c:min val="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8015344"/>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236286089238802"/>
          <c:y val="6.8733960338291003E-2"/>
          <c:w val="0.60055577427821505"/>
          <c:h val="0.83437518226888296"/>
        </c:manualLayout>
      </c:layout>
      <c:barChart>
        <c:barDir val="bar"/>
        <c:grouping val="clustered"/>
        <c:varyColors val="0"/>
        <c:ser>
          <c:idx val="0"/>
          <c:order val="0"/>
          <c:spPr>
            <a:solidFill>
              <a:schemeClr val="bg1">
                <a:lumMod val="75000"/>
              </a:schemeClr>
            </a:solidFill>
            <a:ln>
              <a:noFill/>
            </a:ln>
            <a:effectLst/>
          </c:spPr>
          <c:invertIfNegative val="0"/>
          <c:cat>
            <c:strRef>
              <c:f>Wind!$B$15</c:f>
              <c:strCache>
                <c:ptCount val="1"/>
                <c:pt idx="0">
                  <c:v>Blade washing</c:v>
                </c:pt>
              </c:strCache>
            </c:strRef>
          </c:cat>
          <c:val>
            <c:numRef>
              <c:f>Wind!$O$15</c:f>
              <c:numCache>
                <c:formatCode>0.0E+00</c:formatCode>
                <c:ptCount val="1"/>
                <c:pt idx="0">
                  <c:v>19618740</c:v>
                </c:pt>
              </c:numCache>
            </c:numRef>
          </c:val>
          <c:extLst>
            <c:ext xmlns:c16="http://schemas.microsoft.com/office/drawing/2014/chart" uri="{C3380CC4-5D6E-409C-BE32-E72D297353CC}">
              <c16:uniqueId val="{00000000-6B9C-2442-A58D-76999C557E25}"/>
            </c:ext>
          </c:extLst>
        </c:ser>
        <c:dLbls>
          <c:showLegendKey val="0"/>
          <c:showVal val="0"/>
          <c:showCatName val="0"/>
          <c:showSerName val="0"/>
          <c:showPercent val="0"/>
          <c:showBubbleSize val="0"/>
        </c:dLbls>
        <c:gapWidth val="0"/>
        <c:axId val="68055536"/>
        <c:axId val="68057856"/>
      </c:barChart>
      <c:catAx>
        <c:axId val="6805553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8057856"/>
        <c:crosses val="autoZero"/>
        <c:auto val="1"/>
        <c:lblAlgn val="ctr"/>
        <c:lblOffset val="0"/>
        <c:noMultiLvlLbl val="0"/>
      </c:catAx>
      <c:valAx>
        <c:axId val="68057856"/>
        <c:scaling>
          <c:orientation val="minMax"/>
          <c:max val="100000000000"/>
          <c:min val="0"/>
        </c:scaling>
        <c:delete val="0"/>
        <c:axPos val="b"/>
        <c:numFmt formatCode="0.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68055536"/>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Wind!$K$13</c:f>
              <c:numCache>
                <c:formatCode>0%</c:formatCode>
                <c:ptCount val="1"/>
                <c:pt idx="0">
                  <c:v>0.4</c:v>
                </c:pt>
              </c:numCache>
            </c:numRef>
          </c:val>
          <c:extLst>
            <c:ext xmlns:c16="http://schemas.microsoft.com/office/drawing/2014/chart" uri="{C3380CC4-5D6E-409C-BE32-E72D297353CC}">
              <c16:uniqueId val="{00000000-C630-F140-92D2-127BFAE4C13E}"/>
            </c:ext>
          </c:extLst>
        </c:ser>
        <c:ser>
          <c:idx val="0"/>
          <c:order val="1"/>
          <c:tx>
            <c:v>Surface</c:v>
          </c:tx>
          <c:spPr>
            <a:solidFill>
              <a:srgbClr val="335C89"/>
            </a:solidFill>
            <a:ln w="19050">
              <a:solidFill>
                <a:schemeClr val="lt1"/>
              </a:solidFill>
            </a:ln>
            <a:effectLst/>
          </c:spPr>
          <c:invertIfNegative val="0"/>
          <c:val>
            <c:numRef>
              <c:f>Wind!$L$13</c:f>
              <c:numCache>
                <c:formatCode>0%</c:formatCode>
                <c:ptCount val="1"/>
                <c:pt idx="0">
                  <c:v>0.6</c:v>
                </c:pt>
              </c:numCache>
            </c:numRef>
          </c:val>
          <c:extLst>
            <c:ext xmlns:c16="http://schemas.microsoft.com/office/drawing/2014/chart" uri="{C3380CC4-5D6E-409C-BE32-E72D297353CC}">
              <c16:uniqueId val="{00000001-C630-F140-92D2-127BFAE4C13E}"/>
            </c:ext>
          </c:extLst>
        </c:ser>
        <c:ser>
          <c:idx val="2"/>
          <c:order val="2"/>
          <c:tx>
            <c:v>Reuse</c:v>
          </c:tx>
          <c:spPr>
            <a:solidFill>
              <a:srgbClr val="19416C"/>
            </a:solidFill>
            <a:ln w="19050">
              <a:solidFill>
                <a:schemeClr val="lt1"/>
              </a:solidFill>
            </a:ln>
            <a:effectLst/>
          </c:spPr>
          <c:invertIfNegative val="0"/>
          <c:val>
            <c:numRef>
              <c:f>Wind!$M$13</c:f>
              <c:numCache>
                <c:formatCode>0%</c:formatCode>
                <c:ptCount val="1"/>
                <c:pt idx="0">
                  <c:v>0</c:v>
                </c:pt>
              </c:numCache>
            </c:numRef>
          </c:val>
          <c:extLst>
            <c:ext xmlns:c16="http://schemas.microsoft.com/office/drawing/2014/chart" uri="{C3380CC4-5D6E-409C-BE32-E72D297353CC}">
              <c16:uniqueId val="{00000002-C630-F140-92D2-127BFAE4C13E}"/>
            </c:ext>
          </c:extLst>
        </c:ser>
        <c:dLbls>
          <c:showLegendKey val="0"/>
          <c:showVal val="0"/>
          <c:showCatName val="0"/>
          <c:showSerName val="0"/>
          <c:showPercent val="0"/>
          <c:showBubbleSize val="0"/>
        </c:dLbls>
        <c:gapWidth val="0"/>
        <c:overlap val="100"/>
        <c:axId val="67925536"/>
        <c:axId val="67923216"/>
      </c:barChart>
      <c:valAx>
        <c:axId val="67923216"/>
        <c:scaling>
          <c:orientation val="minMax"/>
        </c:scaling>
        <c:delete val="1"/>
        <c:axPos val="b"/>
        <c:numFmt formatCode="0%" sourceLinked="1"/>
        <c:majorTickMark val="out"/>
        <c:minorTickMark val="none"/>
        <c:tickLblPos val="nextTo"/>
        <c:crossAx val="67925536"/>
        <c:crosses val="autoZero"/>
        <c:crossBetween val="between"/>
      </c:valAx>
      <c:catAx>
        <c:axId val="67925536"/>
        <c:scaling>
          <c:orientation val="minMax"/>
        </c:scaling>
        <c:delete val="1"/>
        <c:axPos val="l"/>
        <c:majorTickMark val="out"/>
        <c:minorTickMark val="none"/>
        <c:tickLblPos val="nextTo"/>
        <c:crossAx val="6792321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dPt>
            <c:idx val="0"/>
            <c:invertIfNegative val="0"/>
            <c:bubble3D val="0"/>
            <c:spPr>
              <a:solidFill>
                <a:srgbClr val="B4EC80"/>
              </a:solidFill>
              <a:ln w="19050">
                <a:solidFill>
                  <a:schemeClr val="lt1"/>
                </a:solidFill>
              </a:ln>
              <a:effectLst/>
            </c:spPr>
            <c:extLst>
              <c:ext xmlns:c16="http://schemas.microsoft.com/office/drawing/2014/chart" uri="{C3380CC4-5D6E-409C-BE32-E72D297353CC}">
                <c16:uniqueId val="{00000001-BE88-3346-9792-7BE5273B5007}"/>
              </c:ext>
            </c:extLst>
          </c:dPt>
          <c:val>
            <c:numRef>
              <c:f>Wind!$F$13</c:f>
              <c:numCache>
                <c:formatCode>0%</c:formatCode>
                <c:ptCount val="1"/>
                <c:pt idx="0">
                  <c:v>1</c:v>
                </c:pt>
              </c:numCache>
            </c:numRef>
          </c:val>
          <c:extLst>
            <c:ext xmlns:c16="http://schemas.microsoft.com/office/drawing/2014/chart" uri="{C3380CC4-5D6E-409C-BE32-E72D297353CC}">
              <c16:uniqueId val="{00000002-BE88-3346-9792-7BE5273B5007}"/>
            </c:ext>
          </c:extLst>
        </c:ser>
        <c:ser>
          <c:idx val="1"/>
          <c:order val="1"/>
          <c:tx>
            <c:v>Brackish</c:v>
          </c:tx>
          <c:spPr>
            <a:solidFill>
              <a:srgbClr val="98D862"/>
            </a:solidFill>
            <a:ln w="19050">
              <a:solidFill>
                <a:schemeClr val="lt1"/>
              </a:solidFill>
            </a:ln>
            <a:effectLst/>
          </c:spPr>
          <c:invertIfNegative val="0"/>
          <c:dPt>
            <c:idx val="0"/>
            <c:invertIfNegative val="0"/>
            <c:bubble3D val="0"/>
            <c:spPr>
              <a:solidFill>
                <a:srgbClr val="98D862"/>
              </a:solidFill>
              <a:ln w="19050">
                <a:solidFill>
                  <a:schemeClr val="lt1"/>
                </a:solidFill>
              </a:ln>
              <a:effectLst/>
            </c:spPr>
            <c:extLst>
              <c:ext xmlns:c16="http://schemas.microsoft.com/office/drawing/2014/chart" uri="{C3380CC4-5D6E-409C-BE32-E72D297353CC}">
                <c16:uniqueId val="{00000004-BE88-3346-9792-7BE5273B5007}"/>
              </c:ext>
            </c:extLst>
          </c:dPt>
          <c:val>
            <c:numRef>
              <c:f>Wind!$G$13</c:f>
              <c:numCache>
                <c:formatCode>0%</c:formatCode>
                <c:ptCount val="1"/>
                <c:pt idx="0">
                  <c:v>0</c:v>
                </c:pt>
              </c:numCache>
            </c:numRef>
          </c:val>
          <c:extLst>
            <c:ext xmlns:c16="http://schemas.microsoft.com/office/drawing/2014/chart" uri="{C3380CC4-5D6E-409C-BE32-E72D297353CC}">
              <c16:uniqueId val="{00000005-BE88-3346-9792-7BE5273B5007}"/>
            </c:ext>
          </c:extLst>
        </c:ser>
        <c:ser>
          <c:idx val="2"/>
          <c:order val="2"/>
          <c:tx>
            <c:v>Saline</c:v>
          </c:tx>
          <c:spPr>
            <a:solidFill>
              <a:srgbClr val="6EB739"/>
            </a:solidFill>
            <a:ln w="19050">
              <a:solidFill>
                <a:schemeClr val="lt1"/>
              </a:solidFill>
            </a:ln>
            <a:effectLst/>
          </c:spPr>
          <c:invertIfNegative val="0"/>
          <c:dPt>
            <c:idx val="0"/>
            <c:invertIfNegative val="0"/>
            <c:bubble3D val="0"/>
            <c:spPr>
              <a:solidFill>
                <a:srgbClr val="6EB739"/>
              </a:solidFill>
              <a:ln w="19050">
                <a:solidFill>
                  <a:schemeClr val="lt1"/>
                </a:solidFill>
              </a:ln>
              <a:effectLst/>
            </c:spPr>
            <c:extLst>
              <c:ext xmlns:c16="http://schemas.microsoft.com/office/drawing/2014/chart" uri="{C3380CC4-5D6E-409C-BE32-E72D297353CC}">
                <c16:uniqueId val="{00000007-BE88-3346-9792-7BE5273B5007}"/>
              </c:ext>
            </c:extLst>
          </c:dPt>
          <c:val>
            <c:numRef>
              <c:f>Wind!$H$13</c:f>
              <c:numCache>
                <c:formatCode>0%</c:formatCode>
                <c:ptCount val="1"/>
                <c:pt idx="0">
                  <c:v>0</c:v>
                </c:pt>
              </c:numCache>
            </c:numRef>
          </c:val>
          <c:extLst>
            <c:ext xmlns:c16="http://schemas.microsoft.com/office/drawing/2014/chart" uri="{C3380CC4-5D6E-409C-BE32-E72D297353CC}">
              <c16:uniqueId val="{00000008-BE88-3346-9792-7BE5273B5007}"/>
            </c:ext>
          </c:extLst>
        </c:ser>
        <c:ser>
          <c:idx val="3"/>
          <c:order val="3"/>
          <c:tx>
            <c:v>Not RO</c:v>
          </c:tx>
          <c:spPr>
            <a:solidFill>
              <a:srgbClr val="5A9D2C"/>
            </a:solidFill>
            <a:ln w="19050">
              <a:solidFill>
                <a:schemeClr val="lt1"/>
              </a:solidFill>
            </a:ln>
            <a:effectLst/>
          </c:spPr>
          <c:invertIfNegative val="0"/>
          <c:dPt>
            <c:idx val="0"/>
            <c:invertIfNegative val="0"/>
            <c:bubble3D val="0"/>
            <c:spPr>
              <a:solidFill>
                <a:srgbClr val="5A9D2C"/>
              </a:solidFill>
              <a:ln w="19050">
                <a:solidFill>
                  <a:schemeClr val="lt1"/>
                </a:solidFill>
              </a:ln>
              <a:effectLst/>
            </c:spPr>
            <c:extLst>
              <c:ext xmlns:c16="http://schemas.microsoft.com/office/drawing/2014/chart" uri="{C3380CC4-5D6E-409C-BE32-E72D297353CC}">
                <c16:uniqueId val="{0000000A-BE88-3346-9792-7BE5273B5007}"/>
              </c:ext>
            </c:extLst>
          </c:dPt>
          <c:val>
            <c:numRef>
              <c:f>Wind!$I$13</c:f>
              <c:numCache>
                <c:formatCode>0%</c:formatCode>
                <c:ptCount val="1"/>
                <c:pt idx="0">
                  <c:v>0</c:v>
                </c:pt>
              </c:numCache>
            </c:numRef>
          </c:val>
          <c:extLst>
            <c:ext xmlns:c16="http://schemas.microsoft.com/office/drawing/2014/chart" uri="{C3380CC4-5D6E-409C-BE32-E72D297353CC}">
              <c16:uniqueId val="{0000000B-BE88-3346-9792-7BE5273B5007}"/>
            </c:ext>
          </c:extLst>
        </c:ser>
        <c:dLbls>
          <c:showLegendKey val="0"/>
          <c:showVal val="0"/>
          <c:showCatName val="0"/>
          <c:showSerName val="0"/>
          <c:showPercent val="0"/>
          <c:showBubbleSize val="0"/>
        </c:dLbls>
        <c:gapWidth val="0"/>
        <c:overlap val="100"/>
        <c:axId val="39069360"/>
        <c:axId val="39066528"/>
      </c:barChart>
      <c:valAx>
        <c:axId val="39066528"/>
        <c:scaling>
          <c:orientation val="minMax"/>
        </c:scaling>
        <c:delete val="1"/>
        <c:axPos val="b"/>
        <c:numFmt formatCode="0%" sourceLinked="1"/>
        <c:majorTickMark val="out"/>
        <c:minorTickMark val="none"/>
        <c:tickLblPos val="nextTo"/>
        <c:crossAx val="39069360"/>
        <c:crosses val="autoZero"/>
        <c:crossBetween val="between"/>
      </c:valAx>
      <c:catAx>
        <c:axId val="39069360"/>
        <c:scaling>
          <c:orientation val="minMax"/>
        </c:scaling>
        <c:delete val="1"/>
        <c:axPos val="l"/>
        <c:majorTickMark val="out"/>
        <c:minorTickMark val="none"/>
        <c:tickLblPos val="nextTo"/>
        <c:crossAx val="39066528"/>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1"/>
          <c:order val="0"/>
          <c:tx>
            <c:v>Ground</c:v>
          </c:tx>
          <c:spPr>
            <a:solidFill>
              <a:srgbClr val="5C82A8"/>
            </a:solidFill>
            <a:ln w="19050">
              <a:solidFill>
                <a:schemeClr val="lt1"/>
              </a:solidFill>
            </a:ln>
            <a:effectLst/>
          </c:spPr>
          <c:invertIfNegative val="0"/>
          <c:val>
            <c:numRef>
              <c:f>Wind!$W$13</c:f>
              <c:numCache>
                <c:formatCode>0%</c:formatCode>
                <c:ptCount val="1"/>
                <c:pt idx="0">
                  <c:v>0.4</c:v>
                </c:pt>
              </c:numCache>
            </c:numRef>
          </c:val>
          <c:extLst>
            <c:ext xmlns:c16="http://schemas.microsoft.com/office/drawing/2014/chart" uri="{C3380CC4-5D6E-409C-BE32-E72D297353CC}">
              <c16:uniqueId val="{00000000-9711-C340-B877-5DE5352D06DF}"/>
            </c:ext>
          </c:extLst>
        </c:ser>
        <c:ser>
          <c:idx val="0"/>
          <c:order val="1"/>
          <c:tx>
            <c:v>Surface</c:v>
          </c:tx>
          <c:spPr>
            <a:solidFill>
              <a:srgbClr val="335C89"/>
            </a:solidFill>
            <a:ln w="19050">
              <a:solidFill>
                <a:schemeClr val="lt1"/>
              </a:solidFill>
            </a:ln>
            <a:effectLst/>
          </c:spPr>
          <c:invertIfNegative val="0"/>
          <c:val>
            <c:numRef>
              <c:f>Wind!$X$13</c:f>
              <c:numCache>
                <c:formatCode>0%</c:formatCode>
                <c:ptCount val="1"/>
                <c:pt idx="0">
                  <c:v>0.6</c:v>
                </c:pt>
              </c:numCache>
            </c:numRef>
          </c:val>
          <c:extLst>
            <c:ext xmlns:c16="http://schemas.microsoft.com/office/drawing/2014/chart" uri="{C3380CC4-5D6E-409C-BE32-E72D297353CC}">
              <c16:uniqueId val="{00000001-9711-C340-B877-5DE5352D06DF}"/>
            </c:ext>
          </c:extLst>
        </c:ser>
        <c:ser>
          <c:idx val="2"/>
          <c:order val="2"/>
          <c:tx>
            <c:v>Reuse</c:v>
          </c:tx>
          <c:spPr>
            <a:solidFill>
              <a:srgbClr val="19416C"/>
            </a:solidFill>
            <a:ln w="19050">
              <a:solidFill>
                <a:schemeClr val="lt1"/>
              </a:solidFill>
            </a:ln>
            <a:effectLst/>
          </c:spPr>
          <c:invertIfNegative val="0"/>
          <c:val>
            <c:numRef>
              <c:f>Wind!$Y$13</c:f>
              <c:numCache>
                <c:formatCode>0%</c:formatCode>
                <c:ptCount val="1"/>
                <c:pt idx="0">
                  <c:v>0</c:v>
                </c:pt>
              </c:numCache>
            </c:numRef>
          </c:val>
          <c:extLst>
            <c:ext xmlns:c16="http://schemas.microsoft.com/office/drawing/2014/chart" uri="{C3380CC4-5D6E-409C-BE32-E72D297353CC}">
              <c16:uniqueId val="{00000002-9711-C340-B877-5DE5352D06DF}"/>
            </c:ext>
          </c:extLst>
        </c:ser>
        <c:dLbls>
          <c:showLegendKey val="0"/>
          <c:showVal val="0"/>
          <c:showCatName val="0"/>
          <c:showSerName val="0"/>
          <c:showPercent val="0"/>
          <c:showBubbleSize val="0"/>
        </c:dLbls>
        <c:gapWidth val="0"/>
        <c:overlap val="100"/>
        <c:axId val="37573952"/>
        <c:axId val="37571904"/>
      </c:barChart>
      <c:valAx>
        <c:axId val="37571904"/>
        <c:scaling>
          <c:orientation val="minMax"/>
        </c:scaling>
        <c:delete val="1"/>
        <c:axPos val="b"/>
        <c:numFmt formatCode="0%" sourceLinked="0"/>
        <c:majorTickMark val="out"/>
        <c:minorTickMark val="none"/>
        <c:tickLblPos val="nextTo"/>
        <c:crossAx val="37573952"/>
        <c:crosses val="autoZero"/>
        <c:crossBetween val="between"/>
      </c:valAx>
      <c:catAx>
        <c:axId val="37573952"/>
        <c:scaling>
          <c:orientation val="minMax"/>
        </c:scaling>
        <c:delete val="1"/>
        <c:axPos val="l"/>
        <c:majorTickMark val="out"/>
        <c:minorTickMark val="none"/>
        <c:tickLblPos val="nextTo"/>
        <c:crossAx val="3757190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111111111111101E-2"/>
          <c:y val="6.0185185185185203E-2"/>
          <c:w val="0.93888888888888899"/>
          <c:h val="0.87962962962962998"/>
        </c:manualLayout>
      </c:layout>
      <c:barChart>
        <c:barDir val="bar"/>
        <c:grouping val="stacked"/>
        <c:varyColors val="0"/>
        <c:ser>
          <c:idx val="0"/>
          <c:order val="0"/>
          <c:tx>
            <c:v>Fresh</c:v>
          </c:tx>
          <c:spPr>
            <a:solidFill>
              <a:srgbClr val="B4EC80"/>
            </a:solidFill>
            <a:ln w="19050">
              <a:solidFill>
                <a:schemeClr val="lt1"/>
              </a:solidFill>
            </a:ln>
            <a:effectLst/>
          </c:spPr>
          <c:invertIfNegative val="0"/>
          <c:val>
            <c:numRef>
              <c:f>Wind!$R$13</c:f>
              <c:numCache>
                <c:formatCode>0%</c:formatCode>
                <c:ptCount val="1"/>
                <c:pt idx="0">
                  <c:v>1</c:v>
                </c:pt>
              </c:numCache>
            </c:numRef>
          </c:val>
          <c:extLst>
            <c:ext xmlns:c16="http://schemas.microsoft.com/office/drawing/2014/chart" uri="{C3380CC4-5D6E-409C-BE32-E72D297353CC}">
              <c16:uniqueId val="{00000000-7556-5D47-ADC0-5D34A72972EC}"/>
            </c:ext>
          </c:extLst>
        </c:ser>
        <c:ser>
          <c:idx val="1"/>
          <c:order val="1"/>
          <c:tx>
            <c:v>Brackish</c:v>
          </c:tx>
          <c:spPr>
            <a:solidFill>
              <a:srgbClr val="98D862"/>
            </a:solidFill>
            <a:ln w="19050">
              <a:solidFill>
                <a:schemeClr val="lt1"/>
              </a:solidFill>
            </a:ln>
            <a:effectLst/>
          </c:spPr>
          <c:invertIfNegative val="0"/>
          <c:val>
            <c:numRef>
              <c:f>Wind!$S$13</c:f>
              <c:numCache>
                <c:formatCode>0%</c:formatCode>
                <c:ptCount val="1"/>
                <c:pt idx="0">
                  <c:v>0</c:v>
                </c:pt>
              </c:numCache>
            </c:numRef>
          </c:val>
          <c:extLst>
            <c:ext xmlns:c16="http://schemas.microsoft.com/office/drawing/2014/chart" uri="{C3380CC4-5D6E-409C-BE32-E72D297353CC}">
              <c16:uniqueId val="{00000001-7556-5D47-ADC0-5D34A72972EC}"/>
            </c:ext>
          </c:extLst>
        </c:ser>
        <c:ser>
          <c:idx val="2"/>
          <c:order val="2"/>
          <c:tx>
            <c:v>Saline</c:v>
          </c:tx>
          <c:spPr>
            <a:solidFill>
              <a:srgbClr val="6EB739"/>
            </a:solidFill>
            <a:ln w="19050">
              <a:solidFill>
                <a:schemeClr val="lt1"/>
              </a:solidFill>
            </a:ln>
            <a:effectLst/>
          </c:spPr>
          <c:invertIfNegative val="0"/>
          <c:val>
            <c:numRef>
              <c:f>Wind!$T$13</c:f>
              <c:numCache>
                <c:formatCode>0%</c:formatCode>
                <c:ptCount val="1"/>
                <c:pt idx="0">
                  <c:v>0</c:v>
                </c:pt>
              </c:numCache>
            </c:numRef>
          </c:val>
          <c:extLst>
            <c:ext xmlns:c16="http://schemas.microsoft.com/office/drawing/2014/chart" uri="{C3380CC4-5D6E-409C-BE32-E72D297353CC}">
              <c16:uniqueId val="{00000002-7556-5D47-ADC0-5D34A72972EC}"/>
            </c:ext>
          </c:extLst>
        </c:ser>
        <c:ser>
          <c:idx val="3"/>
          <c:order val="3"/>
          <c:tx>
            <c:v>Not RO</c:v>
          </c:tx>
          <c:spPr>
            <a:solidFill>
              <a:srgbClr val="5A9D2C"/>
            </a:solidFill>
            <a:ln w="19050">
              <a:solidFill>
                <a:schemeClr val="lt1"/>
              </a:solidFill>
            </a:ln>
            <a:effectLst/>
          </c:spPr>
          <c:invertIfNegative val="0"/>
          <c:val>
            <c:numRef>
              <c:f>Wind!$U$13</c:f>
              <c:numCache>
                <c:formatCode>0%</c:formatCode>
                <c:ptCount val="1"/>
                <c:pt idx="0">
                  <c:v>0</c:v>
                </c:pt>
              </c:numCache>
            </c:numRef>
          </c:val>
          <c:extLst>
            <c:ext xmlns:c16="http://schemas.microsoft.com/office/drawing/2014/chart" uri="{C3380CC4-5D6E-409C-BE32-E72D297353CC}">
              <c16:uniqueId val="{00000003-7556-5D47-ADC0-5D34A72972EC}"/>
            </c:ext>
          </c:extLst>
        </c:ser>
        <c:dLbls>
          <c:showLegendKey val="0"/>
          <c:showVal val="0"/>
          <c:showCatName val="0"/>
          <c:showSerName val="0"/>
          <c:showPercent val="0"/>
          <c:showBubbleSize val="0"/>
        </c:dLbls>
        <c:gapWidth val="0"/>
        <c:overlap val="100"/>
        <c:axId val="37610144"/>
        <c:axId val="37607312"/>
      </c:barChart>
      <c:valAx>
        <c:axId val="37607312"/>
        <c:scaling>
          <c:orientation val="minMax"/>
        </c:scaling>
        <c:delete val="1"/>
        <c:axPos val="b"/>
        <c:numFmt formatCode="0%" sourceLinked="1"/>
        <c:majorTickMark val="out"/>
        <c:minorTickMark val="none"/>
        <c:tickLblPos val="nextTo"/>
        <c:crossAx val="37610144"/>
        <c:crosses val="autoZero"/>
        <c:crossBetween val="between"/>
      </c:valAx>
      <c:catAx>
        <c:axId val="37610144"/>
        <c:scaling>
          <c:orientation val="minMax"/>
        </c:scaling>
        <c:delete val="1"/>
        <c:axPos val="l"/>
        <c:majorTickMark val="out"/>
        <c:minorTickMark val="none"/>
        <c:tickLblPos val="nextTo"/>
        <c:crossAx val="37607312"/>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14063867016601"/>
          <c:y val="6.8733960338291003E-2"/>
          <c:w val="0.59777799650043695"/>
          <c:h val="0.83437518226888296"/>
        </c:manualLayout>
      </c:layout>
      <c:barChart>
        <c:barDir val="bar"/>
        <c:grouping val="clustered"/>
        <c:varyColors val="0"/>
        <c:ser>
          <c:idx val="0"/>
          <c:order val="0"/>
          <c:spPr>
            <a:solidFill>
              <a:schemeClr val="tx1"/>
            </a:solidFill>
            <a:ln>
              <a:noFill/>
            </a:ln>
            <a:effectLst/>
          </c:spPr>
          <c:invertIfNegative val="0"/>
          <c:cat>
            <c:strRef>
              <c:f>'Solid Biomass and RDF'!$B$15:$B$29</c:f>
              <c:strCache>
                <c:ptCount val="15"/>
                <c:pt idx="0">
                  <c:v>Irrigation, bagasse</c:v>
                </c:pt>
                <c:pt idx="1">
                  <c:v>Irrigation, rice</c:v>
                </c:pt>
                <c:pt idx="2">
                  <c:v>Irrigation, corn</c:v>
                </c:pt>
                <c:pt idx="3">
                  <c:v>Irrigation, sunflowers</c:v>
                </c:pt>
                <c:pt idx="4">
                  <c:v>Irrigation, cotton</c:v>
                </c:pt>
                <c:pt idx="7">
                  <c:v>Power plant cooling</c:v>
                </c:pt>
                <c:pt idx="10">
                  <c:v>Ash handling</c:v>
                </c:pt>
                <c:pt idx="13">
                  <c:v>Solid biomass combustion</c:v>
                </c:pt>
                <c:pt idx="14">
                  <c:v>MSW combustion</c:v>
                </c:pt>
              </c:strCache>
            </c:strRef>
          </c:cat>
          <c:val>
            <c:numRef>
              <c:f>'Solid Biomass and RDF'!$C$15:$C$29</c:f>
              <c:numCache>
                <c:formatCode>0.0E+00</c:formatCode>
                <c:ptCount val="15"/>
                <c:pt idx="0">
                  <c:v>55260000</c:v>
                </c:pt>
                <c:pt idx="1">
                  <c:v>12180000</c:v>
                </c:pt>
                <c:pt idx="2">
                  <c:v>2470000.0000000005</c:v>
                </c:pt>
                <c:pt idx="3">
                  <c:v>3040000</c:v>
                </c:pt>
                <c:pt idx="4">
                  <c:v>640000</c:v>
                </c:pt>
                <c:pt idx="7">
                  <c:v>104048961.67584115</c:v>
                </c:pt>
                <c:pt idx="10">
                  <c:v>2435783.4050860796</c:v>
                </c:pt>
                <c:pt idx="13">
                  <c:v>-54023385.780700006</c:v>
                </c:pt>
                <c:pt idx="14">
                  <c:v>-18349700.576324996</c:v>
                </c:pt>
              </c:numCache>
            </c:numRef>
          </c:val>
          <c:extLst>
            <c:ext xmlns:c16="http://schemas.microsoft.com/office/drawing/2014/chart" uri="{C3380CC4-5D6E-409C-BE32-E72D297353CC}">
              <c16:uniqueId val="{00000000-E9CB-FE46-9864-EDDFF1B0EC94}"/>
            </c:ext>
          </c:extLst>
        </c:ser>
        <c:dLbls>
          <c:showLegendKey val="0"/>
          <c:showVal val="0"/>
          <c:showCatName val="0"/>
          <c:showSerName val="0"/>
          <c:showPercent val="0"/>
          <c:showBubbleSize val="0"/>
        </c:dLbls>
        <c:gapWidth val="0"/>
        <c:axId val="39083616"/>
        <c:axId val="39085936"/>
      </c:barChart>
      <c:catAx>
        <c:axId val="39083616"/>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9085936"/>
        <c:crosses val="autoZero"/>
        <c:auto val="1"/>
        <c:lblAlgn val="ctr"/>
        <c:lblOffset val="0"/>
        <c:noMultiLvlLbl val="0"/>
      </c:catAx>
      <c:valAx>
        <c:axId val="39085936"/>
        <c:scaling>
          <c:orientation val="minMax"/>
          <c:max val="100000000000"/>
          <c:min val="-2000000000"/>
        </c:scaling>
        <c:delete val="0"/>
        <c:axPos val="b"/>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charset="0"/>
                <a:ea typeface="Arial" charset="0"/>
                <a:cs typeface="Arial" charset="0"/>
              </a:defRPr>
            </a:pPr>
            <a:endParaRPr lang="en-US"/>
          </a:p>
        </c:txPr>
        <c:crossAx val="39083616"/>
        <c:crosses val="max"/>
        <c:crossBetween val="between"/>
        <c:majorUnit val="500000000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charset="0"/>
          <a:ea typeface="Arial" charset="0"/>
          <a:cs typeface="Arial"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emf"/><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chart" Target="../charts/chart80.xml"/><Relationship Id="rId5" Type="http://schemas.openxmlformats.org/officeDocument/2006/relationships/chart" Target="../charts/chart79.xml"/><Relationship Id="rId4" Type="http://schemas.openxmlformats.org/officeDocument/2006/relationships/chart" Target="../charts/chart7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4" Type="http://schemas.openxmlformats.org/officeDocument/2006/relationships/chart" Target="../charts/chart8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5" Type="http://schemas.openxmlformats.org/officeDocument/2006/relationships/chart" Target="../charts/chart91.xml"/><Relationship Id="rId4" Type="http://schemas.openxmlformats.org/officeDocument/2006/relationships/chart" Target="../charts/chart9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6" Type="http://schemas.openxmlformats.org/officeDocument/2006/relationships/chart" Target="../charts/chart98.xml"/><Relationship Id="rId5" Type="http://schemas.openxmlformats.org/officeDocument/2006/relationships/chart" Target="../charts/chart97.xml"/><Relationship Id="rId4" Type="http://schemas.openxmlformats.org/officeDocument/2006/relationships/chart" Target="../charts/chart9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chart" Target="../charts/chart110.xml"/><Relationship Id="rId5" Type="http://schemas.openxmlformats.org/officeDocument/2006/relationships/chart" Target="../charts/chart109.xml"/><Relationship Id="rId4" Type="http://schemas.openxmlformats.org/officeDocument/2006/relationships/chart" Target="../charts/chart10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6.xml"/><Relationship Id="rId5" Type="http://schemas.openxmlformats.org/officeDocument/2006/relationships/chart" Target="../charts/chart115.xml"/><Relationship Id="rId4" Type="http://schemas.openxmlformats.org/officeDocument/2006/relationships/chart" Target="../charts/chart1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6" Type="http://schemas.openxmlformats.org/officeDocument/2006/relationships/chart" Target="../charts/chart122.xml"/><Relationship Id="rId5" Type="http://schemas.openxmlformats.org/officeDocument/2006/relationships/chart" Target="../charts/chart121.xml"/><Relationship Id="rId4" Type="http://schemas.openxmlformats.org/officeDocument/2006/relationships/chart" Target="../charts/chart12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 Id="rId6" Type="http://schemas.openxmlformats.org/officeDocument/2006/relationships/chart" Target="../charts/chart128.xml"/><Relationship Id="rId5" Type="http://schemas.openxmlformats.org/officeDocument/2006/relationships/chart" Target="../charts/chart127.xml"/><Relationship Id="rId4" Type="http://schemas.openxmlformats.org/officeDocument/2006/relationships/chart" Target="../charts/chart12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drawing1.xml><?xml version="1.0" encoding="utf-8"?>
<xdr:wsDr xmlns:xdr="http://schemas.openxmlformats.org/drawingml/2006/spreadsheetDrawing" xmlns:a="http://schemas.openxmlformats.org/drawingml/2006/main">
  <xdr:twoCellAnchor>
    <xdr:from>
      <xdr:col>5</xdr:col>
      <xdr:colOff>31750</xdr:colOff>
      <xdr:row>8</xdr:row>
      <xdr:rowOff>63500</xdr:rowOff>
    </xdr:from>
    <xdr:to>
      <xdr:col>5</xdr:col>
      <xdr:colOff>4787900</xdr:colOff>
      <xdr:row>13</xdr:row>
      <xdr:rowOff>190500</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69850</xdr:colOff>
      <xdr:row>0</xdr:row>
      <xdr:rowOff>38100</xdr:rowOff>
    </xdr:from>
    <xdr:to>
      <xdr:col>5</xdr:col>
      <xdr:colOff>4826000</xdr:colOff>
      <xdr:row>6</xdr:row>
      <xdr:rowOff>190500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31750</xdr:colOff>
      <xdr:row>15</xdr:row>
      <xdr:rowOff>63500</xdr:rowOff>
    </xdr:from>
    <xdr:to>
      <xdr:col>5</xdr:col>
      <xdr:colOff>4787900</xdr:colOff>
      <xdr:row>25</xdr:row>
      <xdr:rowOff>165100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31750</xdr:colOff>
      <xdr:row>27</xdr:row>
      <xdr:rowOff>76200</xdr:rowOff>
    </xdr:from>
    <xdr:to>
      <xdr:col>5</xdr:col>
      <xdr:colOff>4787900</xdr:colOff>
      <xdr:row>45</xdr:row>
      <xdr:rowOff>152400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4</xdr:col>
      <xdr:colOff>1727200</xdr:colOff>
      <xdr:row>1</xdr:row>
      <xdr:rowOff>76200</xdr:rowOff>
    </xdr:from>
    <xdr:to>
      <xdr:col>6</xdr:col>
      <xdr:colOff>177800</xdr:colOff>
      <xdr:row>1</xdr:row>
      <xdr:rowOff>368300</xdr:rowOff>
    </xdr:to>
    <xdr:pic>
      <xdr:nvPicPr>
        <xdr:cNvPr id="8" name="Picture 7">
          <a:extLst>
            <a:ext uri="{FF2B5EF4-FFF2-40B4-BE49-F238E27FC236}">
              <a16:creationId xmlns:a16="http://schemas.microsoft.com/office/drawing/2014/main" id="{B7F2A9BE-8029-7A48-B636-F6E178DFE0ED}"/>
            </a:ext>
          </a:extLst>
        </xdr:cNvPr>
        <xdr:cNvPicPr>
          <a:picLocks noChangeAspect="1"/>
        </xdr:cNvPicPr>
      </xdr:nvPicPr>
      <xdr:blipFill rotWithShape="1">
        <a:blip xmlns:r="http://schemas.openxmlformats.org/officeDocument/2006/relationships" r:embed="rId5"/>
        <a:srcRect t="6422" r="36600" b="83027"/>
        <a:stretch/>
      </xdr:blipFill>
      <xdr:spPr>
        <a:xfrm>
          <a:off x="8991600" y="292100"/>
          <a:ext cx="5257800" cy="29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293352</xdr:colOff>
      <xdr:row>1</xdr:row>
      <xdr:rowOff>76200</xdr:rowOff>
    </xdr:from>
    <xdr:to>
      <xdr:col>19</xdr:col>
      <xdr:colOff>737852</xdr:colOff>
      <xdr:row>8</xdr:row>
      <xdr:rowOff>152400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337176</xdr:colOff>
      <xdr:row>1</xdr:row>
      <xdr:rowOff>76200</xdr:rowOff>
    </xdr:from>
    <xdr:to>
      <xdr:col>12</xdr:col>
      <xdr:colOff>781676</xdr:colOff>
      <xdr:row>8</xdr:row>
      <xdr:rowOff>152400</xdr:rowOff>
    </xdr:to>
    <xdr:grpSp>
      <xdr:nvGrpSpPr>
        <xdr:cNvPr id="9" name="Group 8">
          <a:extLst>
            <a:ext uri="{FF2B5EF4-FFF2-40B4-BE49-F238E27FC236}">
              <a16:creationId xmlns:a16="http://schemas.microsoft.com/office/drawing/2014/main" id="{00000000-0008-0000-0E00-000009000000}"/>
            </a:ext>
          </a:extLst>
        </xdr:cNvPr>
        <xdr:cNvGrpSpPr/>
      </xdr:nvGrpSpPr>
      <xdr:grpSpPr>
        <a:xfrm>
          <a:off x="7195176" y="457200"/>
          <a:ext cx="4572000" cy="2743200"/>
          <a:chOff x="6797150" y="457200"/>
          <a:chExt cx="4506622" cy="2743200"/>
        </a:xfrm>
      </xdr:grpSpPr>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6797150" y="1930400"/>
          <a:ext cx="4506622"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6797150" y="457200"/>
          <a:ext cx="4506622"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249528</xdr:colOff>
      <xdr:row>1</xdr:row>
      <xdr:rowOff>76200</xdr:rowOff>
    </xdr:from>
    <xdr:to>
      <xdr:col>27</xdr:col>
      <xdr:colOff>694028</xdr:colOff>
      <xdr:row>8</xdr:row>
      <xdr:rowOff>152400</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17013528" y="457200"/>
          <a:ext cx="4572000" cy="2743200"/>
          <a:chOff x="16480128" y="457200"/>
          <a:chExt cx="4506622" cy="2743200"/>
        </a:xfrm>
      </xdr:grpSpPr>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16480128" y="1930400"/>
          <a:ext cx="4506622"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16480128" y="457200"/>
          <a:ext cx="4506622"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27</xdr:col>
      <xdr:colOff>693088</xdr:colOff>
      <xdr:row>8</xdr:row>
      <xdr:rowOff>152400</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2286000" y="457200"/>
          <a:ext cx="19298588" cy="2743200"/>
          <a:chOff x="2286000" y="457200"/>
          <a:chExt cx="19298588" cy="2743200"/>
        </a:xfrm>
      </xdr:grpSpPr>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2286000" y="457200"/>
          <a:ext cx="4572000" cy="2743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12103726" y="457200"/>
          <a:ext cx="4572000" cy="27432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0" name="Group 9">
            <a:extLst>
              <a:ext uri="{FF2B5EF4-FFF2-40B4-BE49-F238E27FC236}">
                <a16:creationId xmlns:a16="http://schemas.microsoft.com/office/drawing/2014/main" id="{00000000-0008-0000-0F00-00000A000000}"/>
              </a:ext>
            </a:extLst>
          </xdr:cNvPr>
          <xdr:cNvGrpSpPr/>
        </xdr:nvGrpSpPr>
        <xdr:grpSpPr>
          <a:xfrm>
            <a:off x="7194863" y="457200"/>
            <a:ext cx="4572000" cy="2743200"/>
            <a:chOff x="6828517" y="457200"/>
            <a:chExt cx="4532962" cy="2743200"/>
          </a:xfrm>
        </xdr:grpSpPr>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6828517" y="1930400"/>
            <a:ext cx="4532962"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0F00-000006000000}"/>
                </a:ext>
              </a:extLst>
            </xdr:cNvPr>
            <xdr:cNvGraphicFramePr>
              <a:graphicFrameLocks/>
            </xdr:cNvGraphicFramePr>
          </xdr:nvGraphicFramePr>
          <xdr:xfrm>
            <a:off x="6828517" y="457200"/>
            <a:ext cx="4532962" cy="1261872"/>
          </xdr:xfrm>
          <a:graphic>
            <a:graphicData uri="http://schemas.openxmlformats.org/drawingml/2006/chart">
              <c:chart xmlns:c="http://schemas.openxmlformats.org/drawingml/2006/chart" xmlns:r="http://schemas.openxmlformats.org/officeDocument/2006/relationships" r:id="rId4"/>
            </a:graphicData>
          </a:graphic>
        </xdr:graphicFrame>
      </xdr:grpSp>
      <xdr:grpSp>
        <xdr:nvGrpSpPr>
          <xdr:cNvPr id="9" name="Group 8">
            <a:extLst>
              <a:ext uri="{FF2B5EF4-FFF2-40B4-BE49-F238E27FC236}">
                <a16:creationId xmlns:a16="http://schemas.microsoft.com/office/drawing/2014/main" id="{00000000-0008-0000-0F00-000009000000}"/>
              </a:ext>
            </a:extLst>
          </xdr:cNvPr>
          <xdr:cNvGrpSpPr/>
        </xdr:nvGrpSpPr>
        <xdr:grpSpPr>
          <a:xfrm>
            <a:off x="17012588" y="457200"/>
            <a:ext cx="4572000" cy="2743200"/>
            <a:chOff x="16568088" y="457200"/>
            <a:chExt cx="4532962" cy="2743200"/>
          </a:xfrm>
        </xdr:grpSpPr>
        <xdr:graphicFrame macro="">
          <xdr:nvGraphicFramePr>
            <xdr:cNvPr id="7" name="Chart 6">
              <a:extLst>
                <a:ext uri="{FF2B5EF4-FFF2-40B4-BE49-F238E27FC236}">
                  <a16:creationId xmlns:a16="http://schemas.microsoft.com/office/drawing/2014/main" id="{00000000-0008-0000-0F00-000007000000}"/>
                </a:ext>
              </a:extLst>
            </xdr:cNvPr>
            <xdr:cNvGraphicFramePr>
              <a:graphicFrameLocks/>
            </xdr:cNvGraphicFramePr>
          </xdr:nvGraphicFramePr>
          <xdr:xfrm>
            <a:off x="16568088" y="1930400"/>
            <a:ext cx="4532962"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0F00-000008000000}"/>
                </a:ext>
              </a:extLst>
            </xdr:cNvPr>
            <xdr:cNvGraphicFramePr>
              <a:graphicFrameLocks/>
            </xdr:cNvGraphicFramePr>
          </xdr:nvGraphicFramePr>
          <xdr:xfrm>
            <a:off x="16568088" y="457200"/>
            <a:ext cx="4532962" cy="1261872"/>
          </xdr:xfrm>
          <a:graphic>
            <a:graphicData uri="http://schemas.openxmlformats.org/drawingml/2006/chart">
              <c:chart xmlns:c="http://schemas.openxmlformats.org/drawingml/2006/chart" xmlns:r="http://schemas.openxmlformats.org/officeDocument/2006/relationships" r:id="rId6"/>
            </a:graphicData>
          </a:graphic>
        </xdr:graphicFrame>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293810</xdr:colOff>
      <xdr:row>1</xdr:row>
      <xdr:rowOff>76200</xdr:rowOff>
    </xdr:from>
    <xdr:to>
      <xdr:col>19</xdr:col>
      <xdr:colOff>738310</xdr:colOff>
      <xdr:row>8</xdr:row>
      <xdr:rowOff>152400</xdr:rowOff>
    </xdr:to>
    <xdr:graphicFrame macro="">
      <xdr:nvGraphicFramePr>
        <xdr:cNvPr id="5" name="Chart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337405</xdr:colOff>
      <xdr:row>1</xdr:row>
      <xdr:rowOff>76200</xdr:rowOff>
    </xdr:from>
    <xdr:to>
      <xdr:col>12</xdr:col>
      <xdr:colOff>781905</xdr:colOff>
      <xdr:row>8</xdr:row>
      <xdr:rowOff>152400</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195405" y="457200"/>
          <a:ext cx="4572000" cy="2743200"/>
          <a:chOff x="6799313" y="457200"/>
          <a:chExt cx="4505935" cy="2743200"/>
        </a:xfrm>
      </xdr:grpSpPr>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6799313" y="1930400"/>
          <a:ext cx="4505935"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6799313" y="457200"/>
          <a:ext cx="4505935"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250214</xdr:colOff>
      <xdr:row>1</xdr:row>
      <xdr:rowOff>76200</xdr:rowOff>
    </xdr:from>
    <xdr:to>
      <xdr:col>27</xdr:col>
      <xdr:colOff>694714</xdr:colOff>
      <xdr:row>8</xdr:row>
      <xdr:rowOff>152400</xdr:rowOff>
    </xdr:to>
    <xdr:grpSp>
      <xdr:nvGrpSpPr>
        <xdr:cNvPr id="9" name="Group 8">
          <a:extLst>
            <a:ext uri="{FF2B5EF4-FFF2-40B4-BE49-F238E27FC236}">
              <a16:creationId xmlns:a16="http://schemas.microsoft.com/office/drawing/2014/main" id="{00000000-0008-0000-1000-000009000000}"/>
            </a:ext>
          </a:extLst>
        </xdr:cNvPr>
        <xdr:cNvGrpSpPr/>
      </xdr:nvGrpSpPr>
      <xdr:grpSpPr>
        <a:xfrm>
          <a:off x="17014214" y="457200"/>
          <a:ext cx="4572000" cy="2743200"/>
          <a:chOff x="16480815" y="457200"/>
          <a:chExt cx="4505935" cy="2743200"/>
        </a:xfrm>
      </xdr:grpSpPr>
      <xdr:graphicFrame macro="">
        <xdr:nvGraphicFramePr>
          <xdr:cNvPr id="7" name="Chart 6">
            <a:extLst>
              <a:ext uri="{FF2B5EF4-FFF2-40B4-BE49-F238E27FC236}">
                <a16:creationId xmlns:a16="http://schemas.microsoft.com/office/drawing/2014/main" id="{00000000-0008-0000-1000-000007000000}"/>
              </a:ext>
            </a:extLst>
          </xdr:cNvPr>
          <xdr:cNvGraphicFramePr>
            <a:graphicFrameLocks/>
          </xdr:cNvGraphicFramePr>
        </xdr:nvGraphicFramePr>
        <xdr:xfrm>
          <a:off x="16480815" y="1930400"/>
          <a:ext cx="4505935"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16480815" y="457200"/>
          <a:ext cx="4505935"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286886</xdr:colOff>
      <xdr:row>1</xdr:row>
      <xdr:rowOff>76200</xdr:rowOff>
    </xdr:from>
    <xdr:to>
      <xdr:col>19</xdr:col>
      <xdr:colOff>731386</xdr:colOff>
      <xdr:row>8</xdr:row>
      <xdr:rowOff>152400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333943</xdr:colOff>
      <xdr:row>1</xdr:row>
      <xdr:rowOff>76200</xdr:rowOff>
    </xdr:from>
    <xdr:to>
      <xdr:col>12</xdr:col>
      <xdr:colOff>778443</xdr:colOff>
      <xdr:row>8</xdr:row>
      <xdr:rowOff>152400</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7191943" y="457200"/>
          <a:ext cx="4572000" cy="2743200"/>
          <a:chOff x="6783089" y="457200"/>
          <a:chExt cx="4490920" cy="2743200"/>
        </a:xfrm>
      </xdr:grpSpPr>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6783089" y="1930400"/>
          <a:ext cx="4490920"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6783089" y="457200"/>
          <a:ext cx="4490920"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239830</xdr:colOff>
      <xdr:row>1</xdr:row>
      <xdr:rowOff>76200</xdr:rowOff>
    </xdr:from>
    <xdr:to>
      <xdr:col>27</xdr:col>
      <xdr:colOff>684330</xdr:colOff>
      <xdr:row>8</xdr:row>
      <xdr:rowOff>152400</xdr:rowOff>
    </xdr:to>
    <xdr:grpSp>
      <xdr:nvGrpSpPr>
        <xdr:cNvPr id="9" name="Group 8">
          <a:extLst>
            <a:ext uri="{FF2B5EF4-FFF2-40B4-BE49-F238E27FC236}">
              <a16:creationId xmlns:a16="http://schemas.microsoft.com/office/drawing/2014/main" id="{00000000-0008-0000-1100-000009000000}"/>
            </a:ext>
          </a:extLst>
        </xdr:cNvPr>
        <xdr:cNvGrpSpPr/>
      </xdr:nvGrpSpPr>
      <xdr:grpSpPr>
        <a:xfrm>
          <a:off x="17003830" y="457200"/>
          <a:ext cx="4572000" cy="2743200"/>
          <a:chOff x="16432330" y="457200"/>
          <a:chExt cx="4490920" cy="2743200"/>
        </a:xfrm>
      </xdr:grpSpPr>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16432330" y="1930400"/>
          <a:ext cx="4490920"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100-000008000000}"/>
              </a:ext>
            </a:extLst>
          </xdr:cNvPr>
          <xdr:cNvGraphicFramePr>
            <a:graphicFrameLocks/>
          </xdr:cNvGraphicFramePr>
        </xdr:nvGraphicFramePr>
        <xdr:xfrm>
          <a:off x="16432330" y="457200"/>
          <a:ext cx="4490920"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286886</xdr:colOff>
      <xdr:row>1</xdr:row>
      <xdr:rowOff>76200</xdr:rowOff>
    </xdr:from>
    <xdr:to>
      <xdr:col>19</xdr:col>
      <xdr:colOff>731386</xdr:colOff>
      <xdr:row>8</xdr:row>
      <xdr:rowOff>152400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333943</xdr:colOff>
      <xdr:row>1</xdr:row>
      <xdr:rowOff>76200</xdr:rowOff>
    </xdr:from>
    <xdr:to>
      <xdr:col>12</xdr:col>
      <xdr:colOff>778443</xdr:colOff>
      <xdr:row>8</xdr:row>
      <xdr:rowOff>152400</xdr:rowOff>
    </xdr:to>
    <xdr:grpSp>
      <xdr:nvGrpSpPr>
        <xdr:cNvPr id="9" name="Group 8">
          <a:extLst>
            <a:ext uri="{FF2B5EF4-FFF2-40B4-BE49-F238E27FC236}">
              <a16:creationId xmlns:a16="http://schemas.microsoft.com/office/drawing/2014/main" id="{00000000-0008-0000-1200-000009000000}"/>
            </a:ext>
          </a:extLst>
        </xdr:cNvPr>
        <xdr:cNvGrpSpPr/>
      </xdr:nvGrpSpPr>
      <xdr:grpSpPr>
        <a:xfrm>
          <a:off x="7191943" y="457200"/>
          <a:ext cx="4572000" cy="2743200"/>
          <a:chOff x="7138689" y="457200"/>
          <a:chExt cx="4490920" cy="2743200"/>
        </a:xfrm>
      </xdr:grpSpPr>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7138689" y="1930400"/>
          <a:ext cx="4490920"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7138689" y="457200"/>
          <a:ext cx="4490920"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239830</xdr:colOff>
      <xdr:row>1</xdr:row>
      <xdr:rowOff>76200</xdr:rowOff>
    </xdr:from>
    <xdr:to>
      <xdr:col>27</xdr:col>
      <xdr:colOff>684330</xdr:colOff>
      <xdr:row>8</xdr:row>
      <xdr:rowOff>152400</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17003830" y="457200"/>
          <a:ext cx="4572000" cy="2743200"/>
          <a:chOff x="16787930" y="457200"/>
          <a:chExt cx="4490920" cy="2743200"/>
        </a:xfrm>
      </xdr:grpSpPr>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16787930" y="1930400"/>
          <a:ext cx="4490920"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16787930" y="457200"/>
          <a:ext cx="4490920"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287804</xdr:colOff>
      <xdr:row>1</xdr:row>
      <xdr:rowOff>76200</xdr:rowOff>
    </xdr:from>
    <xdr:to>
      <xdr:col>19</xdr:col>
      <xdr:colOff>732304</xdr:colOff>
      <xdr:row>8</xdr:row>
      <xdr:rowOff>152400</xdr:rowOff>
    </xdr:to>
    <xdr:graphicFrame macro="">
      <xdr:nvGraphicFramePr>
        <xdr:cNvPr id="5" name="Chart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334402</xdr:colOff>
      <xdr:row>1</xdr:row>
      <xdr:rowOff>76200</xdr:rowOff>
    </xdr:from>
    <xdr:to>
      <xdr:col>12</xdr:col>
      <xdr:colOff>778902</xdr:colOff>
      <xdr:row>8</xdr:row>
      <xdr:rowOff>152400</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192402" y="457200"/>
          <a:ext cx="4572000" cy="2743200"/>
          <a:chOff x="6809048" y="457200"/>
          <a:chExt cx="4514944" cy="2743200"/>
        </a:xfrm>
      </xdr:grpSpPr>
      <xdr:graphicFrame macro="">
        <xdr:nvGraphicFramePr>
          <xdr:cNvPr id="4" name="Chart 3">
            <a:extLst>
              <a:ext uri="{FF2B5EF4-FFF2-40B4-BE49-F238E27FC236}">
                <a16:creationId xmlns:a16="http://schemas.microsoft.com/office/drawing/2014/main" id="{00000000-0008-0000-1300-000004000000}"/>
              </a:ext>
            </a:extLst>
          </xdr:cNvPr>
          <xdr:cNvGraphicFramePr/>
        </xdr:nvGraphicFramePr>
        <xdr:xfrm>
          <a:off x="6809048" y="1930400"/>
          <a:ext cx="4514944"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6809048" y="457200"/>
          <a:ext cx="4514944"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241206</xdr:colOff>
      <xdr:row>1</xdr:row>
      <xdr:rowOff>76200</xdr:rowOff>
    </xdr:from>
    <xdr:to>
      <xdr:col>27</xdr:col>
      <xdr:colOff>685706</xdr:colOff>
      <xdr:row>8</xdr:row>
      <xdr:rowOff>152400</xdr:rowOff>
    </xdr:to>
    <xdr:grpSp>
      <xdr:nvGrpSpPr>
        <xdr:cNvPr id="9" name="Group 8">
          <a:extLst>
            <a:ext uri="{FF2B5EF4-FFF2-40B4-BE49-F238E27FC236}">
              <a16:creationId xmlns:a16="http://schemas.microsoft.com/office/drawing/2014/main" id="{00000000-0008-0000-1300-000009000000}"/>
            </a:ext>
          </a:extLst>
        </xdr:cNvPr>
        <xdr:cNvGrpSpPr/>
      </xdr:nvGrpSpPr>
      <xdr:grpSpPr>
        <a:xfrm>
          <a:off x="17005206" y="457200"/>
          <a:ext cx="4572000" cy="2743200"/>
          <a:chOff x="16509906" y="457200"/>
          <a:chExt cx="4514944" cy="2743200"/>
        </a:xfrm>
      </xdr:grpSpPr>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16509906" y="1930400"/>
          <a:ext cx="4514944"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300-000008000000}"/>
              </a:ext>
            </a:extLst>
          </xdr:cNvPr>
          <xdr:cNvGraphicFramePr>
            <a:graphicFrameLocks/>
          </xdr:cNvGraphicFramePr>
        </xdr:nvGraphicFramePr>
        <xdr:xfrm>
          <a:off x="16509906" y="457200"/>
          <a:ext cx="4514944"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294726</xdr:colOff>
      <xdr:row>1</xdr:row>
      <xdr:rowOff>76200</xdr:rowOff>
    </xdr:from>
    <xdr:to>
      <xdr:col>19</xdr:col>
      <xdr:colOff>739226</xdr:colOff>
      <xdr:row>8</xdr:row>
      <xdr:rowOff>152400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337863</xdr:colOff>
      <xdr:row>1</xdr:row>
      <xdr:rowOff>76200</xdr:rowOff>
    </xdr:from>
    <xdr:to>
      <xdr:col>12</xdr:col>
      <xdr:colOff>782363</xdr:colOff>
      <xdr:row>8</xdr:row>
      <xdr:rowOff>152400</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195863" y="457200"/>
          <a:ext cx="4572000" cy="2743200"/>
          <a:chOff x="6825272" y="457200"/>
          <a:chExt cx="4529959" cy="2743200"/>
        </a:xfrm>
      </xdr:grpSpPr>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6825272" y="1930400"/>
          <a:ext cx="4529959"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400-000006000000}"/>
              </a:ext>
            </a:extLst>
          </xdr:cNvPr>
          <xdr:cNvGraphicFramePr>
            <a:graphicFrameLocks/>
          </xdr:cNvGraphicFramePr>
        </xdr:nvGraphicFramePr>
        <xdr:xfrm>
          <a:off x="6825272" y="457200"/>
          <a:ext cx="4529959"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251590</xdr:colOff>
      <xdr:row>1</xdr:row>
      <xdr:rowOff>76200</xdr:rowOff>
    </xdr:from>
    <xdr:to>
      <xdr:col>27</xdr:col>
      <xdr:colOff>696090</xdr:colOff>
      <xdr:row>8</xdr:row>
      <xdr:rowOff>152400</xdr:rowOff>
    </xdr:to>
    <xdr:grpSp>
      <xdr:nvGrpSpPr>
        <xdr:cNvPr id="9" name="Group 8">
          <a:extLst>
            <a:ext uri="{FF2B5EF4-FFF2-40B4-BE49-F238E27FC236}">
              <a16:creationId xmlns:a16="http://schemas.microsoft.com/office/drawing/2014/main" id="{00000000-0008-0000-1400-000009000000}"/>
            </a:ext>
          </a:extLst>
        </xdr:cNvPr>
        <xdr:cNvGrpSpPr/>
      </xdr:nvGrpSpPr>
      <xdr:grpSpPr>
        <a:xfrm>
          <a:off x="17015590" y="457200"/>
          <a:ext cx="4572000" cy="2743200"/>
          <a:chOff x="16558390" y="457200"/>
          <a:chExt cx="4572000" cy="2743200"/>
        </a:xfrm>
      </xdr:grpSpPr>
      <xdr:graphicFrame macro="">
        <xdr:nvGraphicFramePr>
          <xdr:cNvPr id="7" name="Chart 6">
            <a:extLst>
              <a:ext uri="{FF2B5EF4-FFF2-40B4-BE49-F238E27FC236}">
                <a16:creationId xmlns:a16="http://schemas.microsoft.com/office/drawing/2014/main" id="{00000000-0008-0000-1400-000007000000}"/>
              </a:ext>
            </a:extLst>
          </xdr:cNvPr>
          <xdr:cNvGraphicFramePr>
            <a:graphicFrameLocks/>
          </xdr:cNvGraphicFramePr>
        </xdr:nvGraphicFramePr>
        <xdr:xfrm>
          <a:off x="16558390" y="1930400"/>
          <a:ext cx="4572000"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400-000008000000}"/>
              </a:ext>
            </a:extLst>
          </xdr:cNvPr>
          <xdr:cNvGraphicFramePr>
            <a:graphicFrameLocks/>
          </xdr:cNvGraphicFramePr>
        </xdr:nvGraphicFramePr>
        <xdr:xfrm>
          <a:off x="16558390" y="457200"/>
          <a:ext cx="4572000"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288722</xdr:colOff>
      <xdr:row>1</xdr:row>
      <xdr:rowOff>76200</xdr:rowOff>
    </xdr:from>
    <xdr:to>
      <xdr:col>19</xdr:col>
      <xdr:colOff>733222</xdr:colOff>
      <xdr:row>8</xdr:row>
      <xdr:rowOff>152400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334861</xdr:colOff>
      <xdr:row>1</xdr:row>
      <xdr:rowOff>76200</xdr:rowOff>
    </xdr:from>
    <xdr:to>
      <xdr:col>12</xdr:col>
      <xdr:colOff>779361</xdr:colOff>
      <xdr:row>8</xdr:row>
      <xdr:rowOff>152400</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192861" y="457200"/>
          <a:ext cx="4572000" cy="2743200"/>
          <a:chOff x="6835007" y="457200"/>
          <a:chExt cx="4538967" cy="2743200"/>
        </a:xfrm>
      </xdr:grpSpPr>
      <xdr:graphicFrame macro="">
        <xdr:nvGraphicFramePr>
          <xdr:cNvPr id="4" name="Chart 3">
            <a:extLst>
              <a:ext uri="{FF2B5EF4-FFF2-40B4-BE49-F238E27FC236}">
                <a16:creationId xmlns:a16="http://schemas.microsoft.com/office/drawing/2014/main" id="{00000000-0008-0000-1500-000004000000}"/>
              </a:ext>
            </a:extLst>
          </xdr:cNvPr>
          <xdr:cNvGraphicFramePr/>
        </xdr:nvGraphicFramePr>
        <xdr:xfrm>
          <a:off x="6835007" y="1930400"/>
          <a:ext cx="4538967"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6835007" y="457200"/>
          <a:ext cx="4538967"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242582</xdr:colOff>
      <xdr:row>1</xdr:row>
      <xdr:rowOff>76200</xdr:rowOff>
    </xdr:from>
    <xdr:to>
      <xdr:col>27</xdr:col>
      <xdr:colOff>687082</xdr:colOff>
      <xdr:row>8</xdr:row>
      <xdr:rowOff>152400</xdr:rowOff>
    </xdr:to>
    <xdr:grpSp>
      <xdr:nvGrpSpPr>
        <xdr:cNvPr id="9" name="Group 8">
          <a:extLst>
            <a:ext uri="{FF2B5EF4-FFF2-40B4-BE49-F238E27FC236}">
              <a16:creationId xmlns:a16="http://schemas.microsoft.com/office/drawing/2014/main" id="{00000000-0008-0000-1500-000009000000}"/>
            </a:ext>
          </a:extLst>
        </xdr:cNvPr>
        <xdr:cNvGrpSpPr/>
      </xdr:nvGrpSpPr>
      <xdr:grpSpPr>
        <a:xfrm>
          <a:off x="17006582" y="457200"/>
          <a:ext cx="4572000" cy="2743200"/>
          <a:chOff x="16587483" y="457200"/>
          <a:chExt cx="4538967" cy="2743200"/>
        </a:xfrm>
      </xdr:grpSpPr>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16587483" y="1930400"/>
          <a:ext cx="4538967"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16587483" y="457200"/>
          <a:ext cx="4538967"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10" name="Chart 9">
          <a:extLst>
            <a:ext uri="{FF2B5EF4-FFF2-40B4-BE49-F238E27FC236}">
              <a16:creationId xmlns:a16="http://schemas.microsoft.com/office/drawing/2014/main" id="{00000000-0008-0000-1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290264</xdr:colOff>
      <xdr:row>1</xdr:row>
      <xdr:rowOff>76200</xdr:rowOff>
    </xdr:from>
    <xdr:to>
      <xdr:col>19</xdr:col>
      <xdr:colOff>734764</xdr:colOff>
      <xdr:row>8</xdr:row>
      <xdr:rowOff>152400</xdr:rowOff>
    </xdr:to>
    <xdr:graphicFrame macro="">
      <xdr:nvGraphicFramePr>
        <xdr:cNvPr id="12" name="Chart 11">
          <a:extLst>
            <a:ext uri="{FF2B5EF4-FFF2-40B4-BE49-F238E27FC236}">
              <a16:creationId xmlns:a16="http://schemas.microsoft.com/office/drawing/2014/main" id="{00000000-0008-0000-1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335632</xdr:colOff>
      <xdr:row>1</xdr:row>
      <xdr:rowOff>76200</xdr:rowOff>
    </xdr:from>
    <xdr:to>
      <xdr:col>12</xdr:col>
      <xdr:colOff>780132</xdr:colOff>
      <xdr:row>8</xdr:row>
      <xdr:rowOff>152400</xdr:rowOff>
    </xdr:to>
    <xdr:grpSp>
      <xdr:nvGrpSpPr>
        <xdr:cNvPr id="3" name="Group 2">
          <a:extLst>
            <a:ext uri="{FF2B5EF4-FFF2-40B4-BE49-F238E27FC236}">
              <a16:creationId xmlns:a16="http://schemas.microsoft.com/office/drawing/2014/main" id="{00000000-0008-0000-1600-000003000000}"/>
            </a:ext>
          </a:extLst>
        </xdr:cNvPr>
        <xdr:cNvGrpSpPr/>
      </xdr:nvGrpSpPr>
      <xdr:grpSpPr>
        <a:xfrm>
          <a:off x="7193632" y="457200"/>
          <a:ext cx="4572000" cy="2743200"/>
          <a:chOff x="6818782" y="457200"/>
          <a:chExt cx="4523953" cy="2743200"/>
        </a:xfrm>
      </xdr:grpSpPr>
      <xdr:graphicFrame macro="">
        <xdr:nvGraphicFramePr>
          <xdr:cNvPr id="11" name="Chart 10">
            <a:extLst>
              <a:ext uri="{FF2B5EF4-FFF2-40B4-BE49-F238E27FC236}">
                <a16:creationId xmlns:a16="http://schemas.microsoft.com/office/drawing/2014/main" id="{00000000-0008-0000-1600-00000B000000}"/>
              </a:ext>
            </a:extLst>
          </xdr:cNvPr>
          <xdr:cNvGraphicFramePr/>
        </xdr:nvGraphicFramePr>
        <xdr:xfrm>
          <a:off x="6818782" y="1930400"/>
          <a:ext cx="4523953"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 name="Chart 12">
            <a:extLst>
              <a:ext uri="{FF2B5EF4-FFF2-40B4-BE49-F238E27FC236}">
                <a16:creationId xmlns:a16="http://schemas.microsoft.com/office/drawing/2014/main" id="{00000000-0008-0000-1600-00000D000000}"/>
              </a:ext>
            </a:extLst>
          </xdr:cNvPr>
          <xdr:cNvGraphicFramePr>
            <a:graphicFrameLocks/>
          </xdr:cNvGraphicFramePr>
        </xdr:nvGraphicFramePr>
        <xdr:xfrm>
          <a:off x="6818782" y="457200"/>
          <a:ext cx="4523953"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244896</xdr:colOff>
      <xdr:row>1</xdr:row>
      <xdr:rowOff>76200</xdr:rowOff>
    </xdr:from>
    <xdr:to>
      <xdr:col>27</xdr:col>
      <xdr:colOff>689396</xdr:colOff>
      <xdr:row>8</xdr:row>
      <xdr:rowOff>152400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7008896" y="457200"/>
          <a:ext cx="4572000" cy="2743200"/>
          <a:chOff x="16538997" y="457200"/>
          <a:chExt cx="4523953" cy="2743200"/>
        </a:xfrm>
      </xdr:grpSpPr>
      <xdr:graphicFrame macro="">
        <xdr:nvGraphicFramePr>
          <xdr:cNvPr id="14" name="Chart 13">
            <a:extLst>
              <a:ext uri="{FF2B5EF4-FFF2-40B4-BE49-F238E27FC236}">
                <a16:creationId xmlns:a16="http://schemas.microsoft.com/office/drawing/2014/main" id="{00000000-0008-0000-1600-00000E000000}"/>
              </a:ext>
            </a:extLst>
          </xdr:cNvPr>
          <xdr:cNvGraphicFramePr>
            <a:graphicFrameLocks/>
          </xdr:cNvGraphicFramePr>
        </xdr:nvGraphicFramePr>
        <xdr:xfrm>
          <a:off x="16538997" y="1930400"/>
          <a:ext cx="4523953"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5" name="Chart 14">
            <a:extLst>
              <a:ext uri="{FF2B5EF4-FFF2-40B4-BE49-F238E27FC236}">
                <a16:creationId xmlns:a16="http://schemas.microsoft.com/office/drawing/2014/main" id="{00000000-0008-0000-1600-00000F000000}"/>
              </a:ext>
            </a:extLst>
          </xdr:cNvPr>
          <xdr:cNvGraphicFramePr>
            <a:graphicFrameLocks/>
          </xdr:cNvGraphicFramePr>
        </xdr:nvGraphicFramePr>
        <xdr:xfrm>
          <a:off x="16538997" y="457200"/>
          <a:ext cx="4523953"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294726</xdr:colOff>
      <xdr:row>1</xdr:row>
      <xdr:rowOff>76200</xdr:rowOff>
    </xdr:from>
    <xdr:to>
      <xdr:col>19</xdr:col>
      <xdr:colOff>739226</xdr:colOff>
      <xdr:row>8</xdr:row>
      <xdr:rowOff>152400</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337863</xdr:colOff>
      <xdr:row>1</xdr:row>
      <xdr:rowOff>76200</xdr:rowOff>
    </xdr:from>
    <xdr:to>
      <xdr:col>12</xdr:col>
      <xdr:colOff>782363</xdr:colOff>
      <xdr:row>8</xdr:row>
      <xdr:rowOff>152400</xdr:rowOff>
    </xdr:to>
    <xdr:grpSp>
      <xdr:nvGrpSpPr>
        <xdr:cNvPr id="9" name="Group 8">
          <a:extLst>
            <a:ext uri="{FF2B5EF4-FFF2-40B4-BE49-F238E27FC236}">
              <a16:creationId xmlns:a16="http://schemas.microsoft.com/office/drawing/2014/main" id="{00000000-0008-0000-1700-000009000000}"/>
            </a:ext>
          </a:extLst>
        </xdr:cNvPr>
        <xdr:cNvGrpSpPr/>
      </xdr:nvGrpSpPr>
      <xdr:grpSpPr>
        <a:xfrm>
          <a:off x="7195863" y="457200"/>
          <a:ext cx="4572000" cy="2743200"/>
          <a:chOff x="6825272" y="457200"/>
          <a:chExt cx="4529959" cy="2743200"/>
        </a:xfrm>
      </xdr:grpSpPr>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6825272" y="1930400"/>
          <a:ext cx="4529959"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700-000006000000}"/>
              </a:ext>
            </a:extLst>
          </xdr:cNvPr>
          <xdr:cNvGraphicFramePr>
            <a:graphicFrameLocks/>
          </xdr:cNvGraphicFramePr>
        </xdr:nvGraphicFramePr>
        <xdr:xfrm>
          <a:off x="6825272" y="457200"/>
          <a:ext cx="4529959"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251590</xdr:colOff>
      <xdr:row>1</xdr:row>
      <xdr:rowOff>76200</xdr:rowOff>
    </xdr:from>
    <xdr:to>
      <xdr:col>27</xdr:col>
      <xdr:colOff>696090</xdr:colOff>
      <xdr:row>8</xdr:row>
      <xdr:rowOff>152400</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17015590" y="457200"/>
          <a:ext cx="4572000" cy="2743200"/>
          <a:chOff x="16558391" y="457200"/>
          <a:chExt cx="4529959" cy="2743200"/>
        </a:xfrm>
      </xdr:grpSpPr>
      <xdr:graphicFrame macro="">
        <xdr:nvGraphicFramePr>
          <xdr:cNvPr id="7" name="Chart 6">
            <a:extLst>
              <a:ext uri="{FF2B5EF4-FFF2-40B4-BE49-F238E27FC236}">
                <a16:creationId xmlns:a16="http://schemas.microsoft.com/office/drawing/2014/main" id="{00000000-0008-0000-1700-000007000000}"/>
              </a:ext>
            </a:extLst>
          </xdr:cNvPr>
          <xdr:cNvGraphicFramePr>
            <a:graphicFrameLocks/>
          </xdr:cNvGraphicFramePr>
        </xdr:nvGraphicFramePr>
        <xdr:xfrm>
          <a:off x="16558391" y="1930400"/>
          <a:ext cx="4529959"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700-000008000000}"/>
              </a:ext>
            </a:extLst>
          </xdr:cNvPr>
          <xdr:cNvGraphicFramePr>
            <a:graphicFrameLocks/>
          </xdr:cNvGraphicFramePr>
        </xdr:nvGraphicFramePr>
        <xdr:xfrm>
          <a:off x="16558391" y="457200"/>
          <a:ext cx="4529959"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31750</xdr:colOff>
      <xdr:row>8</xdr:row>
      <xdr:rowOff>63500</xdr:rowOff>
    </xdr:from>
    <xdr:to>
      <xdr:col>5</xdr:col>
      <xdr:colOff>4787900</xdr:colOff>
      <xdr:row>13</xdr:row>
      <xdr:rowOff>190500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69850</xdr:colOff>
      <xdr:row>1</xdr:row>
      <xdr:rowOff>12700</xdr:rowOff>
    </xdr:from>
    <xdr:to>
      <xdr:col>5</xdr:col>
      <xdr:colOff>4826000</xdr:colOff>
      <xdr:row>6</xdr:row>
      <xdr:rowOff>190500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31750</xdr:colOff>
      <xdr:row>15</xdr:row>
      <xdr:rowOff>63500</xdr:rowOff>
    </xdr:from>
    <xdr:to>
      <xdr:col>5</xdr:col>
      <xdr:colOff>4787900</xdr:colOff>
      <xdr:row>21</xdr:row>
      <xdr:rowOff>165100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31750</xdr:colOff>
      <xdr:row>23</xdr:row>
      <xdr:rowOff>101600</xdr:rowOff>
    </xdr:from>
    <xdr:to>
      <xdr:col>5</xdr:col>
      <xdr:colOff>4787900</xdr:colOff>
      <xdr:row>41</xdr:row>
      <xdr:rowOff>25400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285802</xdr:colOff>
      <xdr:row>1</xdr:row>
      <xdr:rowOff>76200</xdr:rowOff>
    </xdr:from>
    <xdr:to>
      <xdr:col>19</xdr:col>
      <xdr:colOff>730302</xdr:colOff>
      <xdr:row>8</xdr:row>
      <xdr:rowOff>152400</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333401</xdr:colOff>
      <xdr:row>1</xdr:row>
      <xdr:rowOff>76200</xdr:rowOff>
    </xdr:from>
    <xdr:to>
      <xdr:col>12</xdr:col>
      <xdr:colOff>777901</xdr:colOff>
      <xdr:row>8</xdr:row>
      <xdr:rowOff>152400</xdr:rowOff>
    </xdr:to>
    <xdr:grpSp>
      <xdr:nvGrpSpPr>
        <xdr:cNvPr id="9" name="Group 8">
          <a:extLst>
            <a:ext uri="{FF2B5EF4-FFF2-40B4-BE49-F238E27FC236}">
              <a16:creationId xmlns:a16="http://schemas.microsoft.com/office/drawing/2014/main" id="{00000000-0008-0000-1800-000009000000}"/>
            </a:ext>
          </a:extLst>
        </xdr:cNvPr>
        <xdr:cNvGrpSpPr/>
      </xdr:nvGrpSpPr>
      <xdr:grpSpPr>
        <a:xfrm>
          <a:off x="7191401" y="457200"/>
          <a:ext cx="4572000" cy="2743200"/>
          <a:chOff x="6812293" y="457200"/>
          <a:chExt cx="4517947" cy="2743200"/>
        </a:xfrm>
      </xdr:grpSpPr>
      <xdr:graphicFrame macro="">
        <xdr:nvGraphicFramePr>
          <xdr:cNvPr id="4" name="Chart 3">
            <a:extLst>
              <a:ext uri="{FF2B5EF4-FFF2-40B4-BE49-F238E27FC236}">
                <a16:creationId xmlns:a16="http://schemas.microsoft.com/office/drawing/2014/main" id="{00000000-0008-0000-1800-000004000000}"/>
              </a:ext>
            </a:extLst>
          </xdr:cNvPr>
          <xdr:cNvGraphicFramePr/>
        </xdr:nvGraphicFramePr>
        <xdr:xfrm>
          <a:off x="6812293" y="1930400"/>
          <a:ext cx="4517947"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800-000006000000}"/>
              </a:ext>
            </a:extLst>
          </xdr:cNvPr>
          <xdr:cNvGraphicFramePr>
            <a:graphicFrameLocks/>
          </xdr:cNvGraphicFramePr>
        </xdr:nvGraphicFramePr>
        <xdr:xfrm>
          <a:off x="6812293" y="457200"/>
          <a:ext cx="4517947"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238202</xdr:colOff>
      <xdr:row>1</xdr:row>
      <xdr:rowOff>76200</xdr:rowOff>
    </xdr:from>
    <xdr:to>
      <xdr:col>27</xdr:col>
      <xdr:colOff>682702</xdr:colOff>
      <xdr:row>8</xdr:row>
      <xdr:rowOff>152400</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17002202" y="457200"/>
          <a:ext cx="4572000" cy="2743200"/>
          <a:chOff x="16519603" y="457200"/>
          <a:chExt cx="4517947" cy="2743200"/>
        </a:xfrm>
      </xdr:grpSpPr>
      <xdr:graphicFrame macro="">
        <xdr:nvGraphicFramePr>
          <xdr:cNvPr id="7" name="Chart 6">
            <a:extLst>
              <a:ext uri="{FF2B5EF4-FFF2-40B4-BE49-F238E27FC236}">
                <a16:creationId xmlns:a16="http://schemas.microsoft.com/office/drawing/2014/main" id="{00000000-0008-0000-1800-000007000000}"/>
              </a:ext>
            </a:extLst>
          </xdr:cNvPr>
          <xdr:cNvGraphicFramePr>
            <a:graphicFrameLocks/>
          </xdr:cNvGraphicFramePr>
        </xdr:nvGraphicFramePr>
        <xdr:xfrm>
          <a:off x="16519603" y="1930400"/>
          <a:ext cx="4517947"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800-000008000000}"/>
              </a:ext>
            </a:extLst>
          </xdr:cNvPr>
          <xdr:cNvGraphicFramePr>
            <a:graphicFrameLocks/>
          </xdr:cNvGraphicFramePr>
        </xdr:nvGraphicFramePr>
        <xdr:xfrm>
          <a:off x="16519603" y="457200"/>
          <a:ext cx="4517947"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27</xdr:col>
      <xdr:colOff>687082</xdr:colOff>
      <xdr:row>8</xdr:row>
      <xdr:rowOff>152400</xdr:rowOff>
    </xdr:to>
    <xdr:grpSp>
      <xdr:nvGrpSpPr>
        <xdr:cNvPr id="11" name="Group 10">
          <a:extLst>
            <a:ext uri="{FF2B5EF4-FFF2-40B4-BE49-F238E27FC236}">
              <a16:creationId xmlns:a16="http://schemas.microsoft.com/office/drawing/2014/main" id="{00000000-0008-0000-1900-00000B000000}"/>
            </a:ext>
          </a:extLst>
        </xdr:cNvPr>
        <xdr:cNvGrpSpPr/>
      </xdr:nvGrpSpPr>
      <xdr:grpSpPr>
        <a:xfrm>
          <a:off x="2286000" y="457200"/>
          <a:ext cx="19292582" cy="2743200"/>
          <a:chOff x="2286000" y="457200"/>
          <a:chExt cx="19292582" cy="2743200"/>
        </a:xfrm>
      </xdr:grpSpPr>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2286000" y="457200"/>
          <a:ext cx="4572000" cy="27432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5" name="Chart 4">
            <a:extLst>
              <a:ext uri="{FF2B5EF4-FFF2-40B4-BE49-F238E27FC236}">
                <a16:creationId xmlns:a16="http://schemas.microsoft.com/office/drawing/2014/main" id="{00000000-0008-0000-1900-000005000000}"/>
              </a:ext>
            </a:extLst>
          </xdr:cNvPr>
          <xdr:cNvGraphicFramePr>
            <a:graphicFrameLocks/>
          </xdr:cNvGraphicFramePr>
        </xdr:nvGraphicFramePr>
        <xdr:xfrm>
          <a:off x="12099722" y="457200"/>
          <a:ext cx="4572000" cy="27432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9" name="Group 8">
            <a:extLst>
              <a:ext uri="{FF2B5EF4-FFF2-40B4-BE49-F238E27FC236}">
                <a16:creationId xmlns:a16="http://schemas.microsoft.com/office/drawing/2014/main" id="{00000000-0008-0000-1900-000009000000}"/>
              </a:ext>
            </a:extLst>
          </xdr:cNvPr>
          <xdr:cNvGrpSpPr/>
        </xdr:nvGrpSpPr>
        <xdr:grpSpPr>
          <a:xfrm>
            <a:off x="7192861" y="457200"/>
            <a:ext cx="4572000" cy="2743200"/>
            <a:chOff x="6835007" y="457200"/>
            <a:chExt cx="4538967" cy="2743200"/>
          </a:xfrm>
        </xdr:grpSpPr>
        <xdr:graphicFrame macro="">
          <xdr:nvGraphicFramePr>
            <xdr:cNvPr id="4" name="Chart 3">
              <a:extLst>
                <a:ext uri="{FF2B5EF4-FFF2-40B4-BE49-F238E27FC236}">
                  <a16:creationId xmlns:a16="http://schemas.microsoft.com/office/drawing/2014/main" id="{00000000-0008-0000-1900-000004000000}"/>
                </a:ext>
              </a:extLst>
            </xdr:cNvPr>
            <xdr:cNvGraphicFramePr/>
          </xdr:nvGraphicFramePr>
          <xdr:xfrm>
            <a:off x="6835007" y="1930400"/>
            <a:ext cx="4538967"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900-000006000000}"/>
                </a:ext>
              </a:extLst>
            </xdr:cNvPr>
            <xdr:cNvGraphicFramePr>
              <a:graphicFrameLocks/>
            </xdr:cNvGraphicFramePr>
          </xdr:nvGraphicFramePr>
          <xdr:xfrm>
            <a:off x="6835007" y="457200"/>
            <a:ext cx="4538967" cy="1261872"/>
          </xdr:xfrm>
          <a:graphic>
            <a:graphicData uri="http://schemas.openxmlformats.org/drawingml/2006/chart">
              <c:chart xmlns:c="http://schemas.openxmlformats.org/drawingml/2006/chart" xmlns:r="http://schemas.openxmlformats.org/officeDocument/2006/relationships" r:id="rId4"/>
            </a:graphicData>
          </a:graphic>
        </xdr:graphicFrame>
      </xdr:grpSp>
      <xdr:grpSp>
        <xdr:nvGrpSpPr>
          <xdr:cNvPr id="10" name="Group 9">
            <a:extLst>
              <a:ext uri="{FF2B5EF4-FFF2-40B4-BE49-F238E27FC236}">
                <a16:creationId xmlns:a16="http://schemas.microsoft.com/office/drawing/2014/main" id="{00000000-0008-0000-1900-00000A000000}"/>
              </a:ext>
            </a:extLst>
          </xdr:cNvPr>
          <xdr:cNvGrpSpPr/>
        </xdr:nvGrpSpPr>
        <xdr:grpSpPr>
          <a:xfrm>
            <a:off x="17006582" y="457200"/>
            <a:ext cx="4572000" cy="2743200"/>
            <a:chOff x="16587483" y="457200"/>
            <a:chExt cx="4538967" cy="2743200"/>
          </a:xfrm>
        </xdr:grpSpPr>
        <xdr:graphicFrame macro="">
          <xdr:nvGraphicFramePr>
            <xdr:cNvPr id="7" name="Chart 6">
              <a:extLst>
                <a:ext uri="{FF2B5EF4-FFF2-40B4-BE49-F238E27FC236}">
                  <a16:creationId xmlns:a16="http://schemas.microsoft.com/office/drawing/2014/main" id="{00000000-0008-0000-1900-000007000000}"/>
                </a:ext>
              </a:extLst>
            </xdr:cNvPr>
            <xdr:cNvGraphicFramePr>
              <a:graphicFrameLocks/>
            </xdr:cNvGraphicFramePr>
          </xdr:nvGraphicFramePr>
          <xdr:xfrm>
            <a:off x="16587483" y="1930400"/>
            <a:ext cx="4538967"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900-000008000000}"/>
                </a:ext>
              </a:extLst>
            </xdr:cNvPr>
            <xdr:cNvGraphicFramePr>
              <a:graphicFrameLocks/>
            </xdr:cNvGraphicFramePr>
          </xdr:nvGraphicFramePr>
          <xdr:xfrm>
            <a:off x="16587483" y="457200"/>
            <a:ext cx="4538967" cy="1261872"/>
          </xdr:xfrm>
          <a:graphic>
            <a:graphicData uri="http://schemas.openxmlformats.org/drawingml/2006/chart">
              <c:chart xmlns:c="http://schemas.openxmlformats.org/drawingml/2006/chart" xmlns:r="http://schemas.openxmlformats.org/officeDocument/2006/relationships" r:id="rId6"/>
            </a:graphicData>
          </a:graphic>
        </xdr:graphicFrame>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292100</xdr:colOff>
      <xdr:row>1</xdr:row>
      <xdr:rowOff>76200</xdr:rowOff>
    </xdr:from>
    <xdr:to>
      <xdr:col>19</xdr:col>
      <xdr:colOff>736600</xdr:colOff>
      <xdr:row>8</xdr:row>
      <xdr:rowOff>152400</xdr:rowOff>
    </xdr:to>
    <xdr:graphicFrame macro="">
      <xdr:nvGraphicFramePr>
        <xdr:cNvPr id="5" name="Chart 4">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336550</xdr:colOff>
      <xdr:row>1</xdr:row>
      <xdr:rowOff>76200</xdr:rowOff>
    </xdr:from>
    <xdr:to>
      <xdr:col>12</xdr:col>
      <xdr:colOff>781050</xdr:colOff>
      <xdr:row>8</xdr:row>
      <xdr:rowOff>152400</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194550" y="457200"/>
          <a:ext cx="4572000" cy="2743200"/>
          <a:chOff x="7607300" y="457200"/>
          <a:chExt cx="4114800" cy="2743200"/>
        </a:xfrm>
      </xdr:grpSpPr>
      <xdr:graphicFrame macro="">
        <xdr:nvGraphicFramePr>
          <xdr:cNvPr id="4" name="Chart 3">
            <a:extLst>
              <a:ext uri="{FF2B5EF4-FFF2-40B4-BE49-F238E27FC236}">
                <a16:creationId xmlns:a16="http://schemas.microsoft.com/office/drawing/2014/main" id="{00000000-0008-0000-1A00-000004000000}"/>
              </a:ext>
            </a:extLst>
          </xdr:cNvPr>
          <xdr:cNvGraphicFramePr/>
        </xdr:nvGraphicFramePr>
        <xdr:xfrm>
          <a:off x="7607300" y="1930400"/>
          <a:ext cx="4114800"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A00-000006000000}"/>
              </a:ext>
            </a:extLst>
          </xdr:cNvPr>
          <xdr:cNvGraphicFramePr>
            <a:graphicFrameLocks/>
          </xdr:cNvGraphicFramePr>
        </xdr:nvGraphicFramePr>
        <xdr:xfrm>
          <a:off x="7607300" y="457200"/>
          <a:ext cx="4114800"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247650</xdr:colOff>
      <xdr:row>1</xdr:row>
      <xdr:rowOff>76200</xdr:rowOff>
    </xdr:from>
    <xdr:to>
      <xdr:col>27</xdr:col>
      <xdr:colOff>692150</xdr:colOff>
      <xdr:row>8</xdr:row>
      <xdr:rowOff>152400</xdr:rowOff>
    </xdr:to>
    <xdr:grpSp>
      <xdr:nvGrpSpPr>
        <xdr:cNvPr id="9" name="Group 8">
          <a:extLst>
            <a:ext uri="{FF2B5EF4-FFF2-40B4-BE49-F238E27FC236}">
              <a16:creationId xmlns:a16="http://schemas.microsoft.com/office/drawing/2014/main" id="{00000000-0008-0000-1A00-000009000000}"/>
            </a:ext>
          </a:extLst>
        </xdr:cNvPr>
        <xdr:cNvGrpSpPr/>
      </xdr:nvGrpSpPr>
      <xdr:grpSpPr>
        <a:xfrm>
          <a:off x="17011650" y="457200"/>
          <a:ext cx="4572000" cy="2743200"/>
          <a:chOff x="15995650" y="457200"/>
          <a:chExt cx="4114800" cy="2743200"/>
        </a:xfrm>
      </xdr:grpSpPr>
      <xdr:graphicFrame macro="">
        <xdr:nvGraphicFramePr>
          <xdr:cNvPr id="7" name="Chart 6">
            <a:extLst>
              <a:ext uri="{FF2B5EF4-FFF2-40B4-BE49-F238E27FC236}">
                <a16:creationId xmlns:a16="http://schemas.microsoft.com/office/drawing/2014/main" id="{00000000-0008-0000-1A00-000007000000}"/>
              </a:ext>
            </a:extLst>
          </xdr:cNvPr>
          <xdr:cNvGraphicFramePr>
            <a:graphicFrameLocks/>
          </xdr:cNvGraphicFramePr>
        </xdr:nvGraphicFramePr>
        <xdr:xfrm>
          <a:off x="15995650" y="1930400"/>
          <a:ext cx="4114800"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A00-000008000000}"/>
              </a:ext>
            </a:extLst>
          </xdr:cNvPr>
          <xdr:cNvGraphicFramePr>
            <a:graphicFrameLocks/>
          </xdr:cNvGraphicFramePr>
        </xdr:nvGraphicFramePr>
        <xdr:xfrm>
          <a:off x="15995650" y="457200"/>
          <a:ext cx="4114800"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292118</xdr:colOff>
      <xdr:row>1</xdr:row>
      <xdr:rowOff>76200</xdr:rowOff>
    </xdr:from>
    <xdr:to>
      <xdr:col>19</xdr:col>
      <xdr:colOff>736618</xdr:colOff>
      <xdr:row>8</xdr:row>
      <xdr:rowOff>152400</xdr:rowOff>
    </xdr:to>
    <xdr:graphicFrame macro="">
      <xdr:nvGraphicFramePr>
        <xdr:cNvPr id="11" name="Chart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336559</xdr:colOff>
      <xdr:row>1</xdr:row>
      <xdr:rowOff>76200</xdr:rowOff>
    </xdr:from>
    <xdr:to>
      <xdr:col>12</xdr:col>
      <xdr:colOff>781059</xdr:colOff>
      <xdr:row>8</xdr:row>
      <xdr:rowOff>152400</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7194559" y="457200"/>
          <a:ext cx="4572000" cy="2743200"/>
          <a:chOff x="7308710" y="457200"/>
          <a:chExt cx="4565994" cy="2743200"/>
        </a:xfrm>
      </xdr:grpSpPr>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7308710" y="1930400"/>
          <a:ext cx="4565994"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7308710" y="457200"/>
          <a:ext cx="4565994"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247678</xdr:colOff>
      <xdr:row>1</xdr:row>
      <xdr:rowOff>76200</xdr:rowOff>
    </xdr:from>
    <xdr:to>
      <xdr:col>27</xdr:col>
      <xdr:colOff>692178</xdr:colOff>
      <xdr:row>8</xdr:row>
      <xdr:rowOff>152400</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17011678" y="457200"/>
          <a:ext cx="4572000" cy="2743200"/>
          <a:chOff x="17119256" y="457200"/>
          <a:chExt cx="4565994" cy="2743200"/>
        </a:xfrm>
      </xdr:grpSpPr>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17119256" y="1930400"/>
          <a:ext cx="4565994"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4" name="Chart 13">
            <a:extLst>
              <a:ext uri="{FF2B5EF4-FFF2-40B4-BE49-F238E27FC236}">
                <a16:creationId xmlns:a16="http://schemas.microsoft.com/office/drawing/2014/main" id="{00000000-0008-0000-0700-00000E000000}"/>
              </a:ext>
            </a:extLst>
          </xdr:cNvPr>
          <xdr:cNvGraphicFramePr>
            <a:graphicFrameLocks/>
          </xdr:cNvGraphicFramePr>
        </xdr:nvGraphicFramePr>
        <xdr:xfrm>
          <a:off x="17119256" y="457200"/>
          <a:ext cx="4565994"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1079499</xdr:colOff>
      <xdr:row>1</xdr:row>
      <xdr:rowOff>76200</xdr:rowOff>
    </xdr:from>
    <xdr:to>
      <xdr:col>5</xdr:col>
      <xdr:colOff>825499</xdr:colOff>
      <xdr:row>8</xdr:row>
      <xdr:rowOff>152400</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289513</xdr:colOff>
      <xdr:row>1</xdr:row>
      <xdr:rowOff>76200</xdr:rowOff>
    </xdr:from>
    <xdr:to>
      <xdr:col>19</xdr:col>
      <xdr:colOff>734013</xdr:colOff>
      <xdr:row>8</xdr:row>
      <xdr:rowOff>152400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335256</xdr:colOff>
      <xdr:row>1</xdr:row>
      <xdr:rowOff>76200</xdr:rowOff>
    </xdr:from>
    <xdr:to>
      <xdr:col>12</xdr:col>
      <xdr:colOff>779756</xdr:colOff>
      <xdr:row>8</xdr:row>
      <xdr:rowOff>152400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7193256" y="457200"/>
          <a:ext cx="4572000" cy="2743200"/>
          <a:chOff x="7182161" y="457200"/>
          <a:chExt cx="4448879" cy="2743200"/>
        </a:xfrm>
      </xdr:grpSpPr>
      <xdr:graphicFrame macro="">
        <xdr:nvGraphicFramePr>
          <xdr:cNvPr id="11" name="Chart 10">
            <a:extLst>
              <a:ext uri="{FF2B5EF4-FFF2-40B4-BE49-F238E27FC236}">
                <a16:creationId xmlns:a16="http://schemas.microsoft.com/office/drawing/2014/main" id="{00000000-0008-0000-0800-00000B000000}"/>
              </a:ext>
            </a:extLst>
          </xdr:cNvPr>
          <xdr:cNvGraphicFramePr/>
        </xdr:nvGraphicFramePr>
        <xdr:xfrm>
          <a:off x="7182161" y="1930400"/>
          <a:ext cx="4448879"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7182161" y="457200"/>
          <a:ext cx="4448879"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243770</xdr:colOff>
      <xdr:row>1</xdr:row>
      <xdr:rowOff>76200</xdr:rowOff>
    </xdr:from>
    <xdr:to>
      <xdr:col>27</xdr:col>
      <xdr:colOff>688270</xdr:colOff>
      <xdr:row>8</xdr:row>
      <xdr:rowOff>152400</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17007770" y="457200"/>
          <a:ext cx="4572000" cy="2743200"/>
          <a:chOff x="16741071" y="457200"/>
          <a:chExt cx="4448879" cy="2743200"/>
        </a:xfrm>
      </xdr:grpSpPr>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16741071" y="1930400"/>
          <a:ext cx="4448879"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16741071" y="457200"/>
          <a:ext cx="4448879"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10" name="Chart 9">
          <a:extLst>
            <a:ext uri="{FF2B5EF4-FFF2-40B4-BE49-F238E27FC236}">
              <a16:creationId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289472</xdr:colOff>
      <xdr:row>1</xdr:row>
      <xdr:rowOff>67733</xdr:rowOff>
    </xdr:from>
    <xdr:to>
      <xdr:col>19</xdr:col>
      <xdr:colOff>733972</xdr:colOff>
      <xdr:row>8</xdr:row>
      <xdr:rowOff>143933</xdr:rowOff>
    </xdr:to>
    <xdr:graphicFrame macro="">
      <xdr:nvGraphicFramePr>
        <xdr:cNvPr id="12" name="Chart 11">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335236</xdr:colOff>
      <xdr:row>1</xdr:row>
      <xdr:rowOff>71966</xdr:rowOff>
    </xdr:from>
    <xdr:to>
      <xdr:col>12</xdr:col>
      <xdr:colOff>779736</xdr:colOff>
      <xdr:row>8</xdr:row>
      <xdr:rowOff>148166</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7193236" y="452966"/>
          <a:ext cx="4572000" cy="2743200"/>
          <a:chOff x="7271728" y="457200"/>
          <a:chExt cx="4614041" cy="2743200"/>
        </a:xfrm>
      </xdr:grpSpPr>
      <xdr:graphicFrame macro="">
        <xdr:nvGraphicFramePr>
          <xdr:cNvPr id="11" name="Chart 10">
            <a:extLst>
              <a:ext uri="{FF2B5EF4-FFF2-40B4-BE49-F238E27FC236}">
                <a16:creationId xmlns:a16="http://schemas.microsoft.com/office/drawing/2014/main" id="{00000000-0008-0000-0900-00000B000000}"/>
              </a:ext>
            </a:extLst>
          </xdr:cNvPr>
          <xdr:cNvGraphicFramePr/>
        </xdr:nvGraphicFramePr>
        <xdr:xfrm>
          <a:off x="7271728" y="1930400"/>
          <a:ext cx="4614041"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 name="Chart 12">
            <a:extLst>
              <a:ext uri="{FF2B5EF4-FFF2-40B4-BE49-F238E27FC236}">
                <a16:creationId xmlns:a16="http://schemas.microsoft.com/office/drawing/2014/main" id="{00000000-0008-0000-0900-00000D000000}"/>
              </a:ext>
            </a:extLst>
          </xdr:cNvPr>
          <xdr:cNvGraphicFramePr>
            <a:graphicFrameLocks/>
          </xdr:cNvGraphicFramePr>
        </xdr:nvGraphicFramePr>
        <xdr:xfrm>
          <a:off x="7271728" y="457200"/>
          <a:ext cx="4614041"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243707</xdr:colOff>
      <xdr:row>1</xdr:row>
      <xdr:rowOff>76200</xdr:rowOff>
    </xdr:from>
    <xdr:to>
      <xdr:col>27</xdr:col>
      <xdr:colOff>713607</xdr:colOff>
      <xdr:row>8</xdr:row>
      <xdr:rowOff>139700</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7007707" y="457200"/>
          <a:ext cx="4597400" cy="2730500"/>
          <a:chOff x="17159875" y="469900"/>
          <a:chExt cx="4639675" cy="2730500"/>
        </a:xfrm>
      </xdr:grpSpPr>
      <xdr:graphicFrame macro="">
        <xdr:nvGraphicFramePr>
          <xdr:cNvPr id="14" name="Chart 13">
            <a:extLst>
              <a:ext uri="{FF2B5EF4-FFF2-40B4-BE49-F238E27FC236}">
                <a16:creationId xmlns:a16="http://schemas.microsoft.com/office/drawing/2014/main" id="{00000000-0008-0000-0900-00000E000000}"/>
              </a:ext>
            </a:extLst>
          </xdr:cNvPr>
          <xdr:cNvGraphicFramePr>
            <a:graphicFrameLocks/>
          </xdr:cNvGraphicFramePr>
        </xdr:nvGraphicFramePr>
        <xdr:xfrm>
          <a:off x="17185509" y="1930400"/>
          <a:ext cx="4614041"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5" name="Chart 14">
            <a:extLst>
              <a:ext uri="{FF2B5EF4-FFF2-40B4-BE49-F238E27FC236}">
                <a16:creationId xmlns:a16="http://schemas.microsoft.com/office/drawing/2014/main" id="{00000000-0008-0000-0900-00000F000000}"/>
              </a:ext>
            </a:extLst>
          </xdr:cNvPr>
          <xdr:cNvGraphicFramePr>
            <a:graphicFrameLocks/>
          </xdr:cNvGraphicFramePr>
        </xdr:nvGraphicFramePr>
        <xdr:xfrm>
          <a:off x="17159875" y="469900"/>
          <a:ext cx="4614041"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292892</xdr:colOff>
      <xdr:row>1</xdr:row>
      <xdr:rowOff>76200</xdr:rowOff>
    </xdr:from>
    <xdr:to>
      <xdr:col>19</xdr:col>
      <xdr:colOff>737392</xdr:colOff>
      <xdr:row>8</xdr:row>
      <xdr:rowOff>152400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336946</xdr:colOff>
      <xdr:row>1</xdr:row>
      <xdr:rowOff>76200</xdr:rowOff>
    </xdr:from>
    <xdr:to>
      <xdr:col>12</xdr:col>
      <xdr:colOff>781446</xdr:colOff>
      <xdr:row>8</xdr:row>
      <xdr:rowOff>152400</xdr:rowOff>
    </xdr:to>
    <xdr:grpSp>
      <xdr:nvGrpSpPr>
        <xdr:cNvPr id="11" name="Group 10">
          <a:extLst>
            <a:ext uri="{FF2B5EF4-FFF2-40B4-BE49-F238E27FC236}">
              <a16:creationId xmlns:a16="http://schemas.microsoft.com/office/drawing/2014/main" id="{00000000-0008-0000-0A00-00000B000000}"/>
            </a:ext>
          </a:extLst>
        </xdr:cNvPr>
        <xdr:cNvGrpSpPr/>
      </xdr:nvGrpSpPr>
      <xdr:grpSpPr>
        <a:xfrm>
          <a:off x="7194946" y="457200"/>
          <a:ext cx="4572000" cy="2743200"/>
          <a:chOff x="6773354" y="457200"/>
          <a:chExt cx="4481911" cy="2743200"/>
        </a:xfrm>
      </xdr:grpSpPr>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6773354" y="1930400"/>
          <a:ext cx="4481911"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6773354" y="457200"/>
          <a:ext cx="4481911"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248838</xdr:colOff>
      <xdr:row>1</xdr:row>
      <xdr:rowOff>76200</xdr:rowOff>
    </xdr:from>
    <xdr:to>
      <xdr:col>27</xdr:col>
      <xdr:colOff>693338</xdr:colOff>
      <xdr:row>8</xdr:row>
      <xdr:rowOff>152400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7012838" y="457200"/>
          <a:ext cx="4572000" cy="2743200"/>
          <a:chOff x="16403239" y="457200"/>
          <a:chExt cx="4481911" cy="2743200"/>
        </a:xfrm>
      </xdr:grpSpPr>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16403239" y="1930400"/>
          <a:ext cx="4481911"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16403239" y="457200"/>
          <a:ext cx="4481911"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292892</xdr:colOff>
      <xdr:row>1</xdr:row>
      <xdr:rowOff>76200</xdr:rowOff>
    </xdr:from>
    <xdr:to>
      <xdr:col>19</xdr:col>
      <xdr:colOff>737392</xdr:colOff>
      <xdr:row>8</xdr:row>
      <xdr:rowOff>152400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336946</xdr:colOff>
      <xdr:row>1</xdr:row>
      <xdr:rowOff>76200</xdr:rowOff>
    </xdr:from>
    <xdr:to>
      <xdr:col>12</xdr:col>
      <xdr:colOff>781446</xdr:colOff>
      <xdr:row>8</xdr:row>
      <xdr:rowOff>152400</xdr:rowOff>
    </xdr:to>
    <xdr:grpSp>
      <xdr:nvGrpSpPr>
        <xdr:cNvPr id="9" name="Group 8">
          <a:extLst>
            <a:ext uri="{FF2B5EF4-FFF2-40B4-BE49-F238E27FC236}">
              <a16:creationId xmlns:a16="http://schemas.microsoft.com/office/drawing/2014/main" id="{00000000-0008-0000-0B00-000009000000}"/>
            </a:ext>
          </a:extLst>
        </xdr:cNvPr>
        <xdr:cNvGrpSpPr/>
      </xdr:nvGrpSpPr>
      <xdr:grpSpPr>
        <a:xfrm>
          <a:off x="7194946" y="457200"/>
          <a:ext cx="4572000" cy="2743200"/>
          <a:chOff x="7128954" y="457200"/>
          <a:chExt cx="4481911" cy="2743200"/>
        </a:xfrm>
      </xdr:grpSpPr>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7128954" y="1930400"/>
          <a:ext cx="4481911"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7128954" y="457200"/>
          <a:ext cx="4481911"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248838</xdr:colOff>
      <xdr:row>1</xdr:row>
      <xdr:rowOff>76200</xdr:rowOff>
    </xdr:from>
    <xdr:to>
      <xdr:col>27</xdr:col>
      <xdr:colOff>693338</xdr:colOff>
      <xdr:row>8</xdr:row>
      <xdr:rowOff>152400</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17012838" y="457200"/>
          <a:ext cx="4572000" cy="2743200"/>
          <a:chOff x="16758839" y="457200"/>
          <a:chExt cx="4481911" cy="2743200"/>
        </a:xfrm>
      </xdr:grpSpPr>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16758839" y="1930400"/>
          <a:ext cx="4481911"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16758839" y="457200"/>
          <a:ext cx="4481911"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291642</xdr:colOff>
      <xdr:row>1</xdr:row>
      <xdr:rowOff>76200</xdr:rowOff>
    </xdr:from>
    <xdr:to>
      <xdr:col>19</xdr:col>
      <xdr:colOff>736142</xdr:colOff>
      <xdr:row>8</xdr:row>
      <xdr:rowOff>152400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336321</xdr:colOff>
      <xdr:row>1</xdr:row>
      <xdr:rowOff>76200</xdr:rowOff>
    </xdr:from>
    <xdr:to>
      <xdr:col>12</xdr:col>
      <xdr:colOff>780821</xdr:colOff>
      <xdr:row>8</xdr:row>
      <xdr:rowOff>152400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7194321" y="457200"/>
          <a:ext cx="4572000" cy="2743200"/>
          <a:chOff x="7213321" y="457200"/>
          <a:chExt cx="4559988" cy="2743200"/>
        </a:xfrm>
      </xdr:grpSpPr>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7213321" y="1930400"/>
          <a:ext cx="4559988"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7213321" y="457200"/>
          <a:ext cx="4559988"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246962</xdr:colOff>
      <xdr:row>1</xdr:row>
      <xdr:rowOff>76200</xdr:rowOff>
    </xdr:from>
    <xdr:to>
      <xdr:col>27</xdr:col>
      <xdr:colOff>691462</xdr:colOff>
      <xdr:row>8</xdr:row>
      <xdr:rowOff>152400</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7010962" y="457200"/>
          <a:ext cx="4572000" cy="2743200"/>
          <a:chOff x="17010962" y="457200"/>
          <a:chExt cx="4559988" cy="2743200"/>
        </a:xfrm>
      </xdr:grpSpPr>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17010962" y="1930400"/>
          <a:ext cx="4559988"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17010962" y="457200"/>
          <a:ext cx="4559988"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1079500</xdr:colOff>
      <xdr:row>1</xdr:row>
      <xdr:rowOff>76200</xdr:rowOff>
    </xdr:from>
    <xdr:to>
      <xdr:col>6</xdr:col>
      <xdr:colOff>0</xdr:colOff>
      <xdr:row>8</xdr:row>
      <xdr:rowOff>152400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293810</xdr:colOff>
      <xdr:row>1</xdr:row>
      <xdr:rowOff>76200</xdr:rowOff>
    </xdr:from>
    <xdr:to>
      <xdr:col>19</xdr:col>
      <xdr:colOff>738310</xdr:colOff>
      <xdr:row>8</xdr:row>
      <xdr:rowOff>152400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337405</xdr:colOff>
      <xdr:row>1</xdr:row>
      <xdr:rowOff>76200</xdr:rowOff>
    </xdr:from>
    <xdr:to>
      <xdr:col>12</xdr:col>
      <xdr:colOff>781905</xdr:colOff>
      <xdr:row>8</xdr:row>
      <xdr:rowOff>152400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7195405" y="457200"/>
          <a:ext cx="4572000" cy="2743200"/>
          <a:chOff x="6799313" y="457200"/>
          <a:chExt cx="4505935" cy="2743200"/>
        </a:xfrm>
      </xdr:grpSpPr>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6799313" y="1930400"/>
          <a:ext cx="4505935" cy="127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6799313" y="457200"/>
          <a:ext cx="4505935" cy="126187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250214</xdr:colOff>
      <xdr:row>1</xdr:row>
      <xdr:rowOff>76200</xdr:rowOff>
    </xdr:from>
    <xdr:to>
      <xdr:col>27</xdr:col>
      <xdr:colOff>694714</xdr:colOff>
      <xdr:row>8</xdr:row>
      <xdr:rowOff>152400</xdr:rowOff>
    </xdr:to>
    <xdr:grpSp>
      <xdr:nvGrpSpPr>
        <xdr:cNvPr id="9" name="Group 8">
          <a:extLst>
            <a:ext uri="{FF2B5EF4-FFF2-40B4-BE49-F238E27FC236}">
              <a16:creationId xmlns:a16="http://schemas.microsoft.com/office/drawing/2014/main" id="{00000000-0008-0000-0D00-000009000000}"/>
            </a:ext>
          </a:extLst>
        </xdr:cNvPr>
        <xdr:cNvGrpSpPr/>
      </xdr:nvGrpSpPr>
      <xdr:grpSpPr>
        <a:xfrm>
          <a:off x="17014214" y="457200"/>
          <a:ext cx="4572000" cy="2743200"/>
          <a:chOff x="16480815" y="457200"/>
          <a:chExt cx="4505935" cy="2743200"/>
        </a:xfrm>
      </xdr:grpSpPr>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16480815" y="1930400"/>
          <a:ext cx="4505935" cy="127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16480815" y="457200"/>
          <a:ext cx="4505935"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ruberte/Desktop/Current%20projects/Water%20for%20Energy/master%20data%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lobal Conversion Factors"/>
      <sheetName val="Oil"/>
      <sheetName val="Conventional Oil"/>
      <sheetName val="Unconventional Oil"/>
      <sheetName val="Liquid Biofuels"/>
      <sheetName val="Subbituminous Coal"/>
      <sheetName val="Bituminous Coal"/>
      <sheetName val="Lignite Coal"/>
      <sheetName val="Natural Gas"/>
      <sheetName val="Conventional Natural Gas"/>
      <sheetName val="Unconventional Natural Gas"/>
      <sheetName val="Uranium"/>
      <sheetName val="Hydropower"/>
      <sheetName val="Wind"/>
      <sheetName val="Solid Biomass and RDF"/>
      <sheetName val="Biogas"/>
      <sheetName val="Geothermal"/>
      <sheetName val="Solar Photovoltaic"/>
      <sheetName val="Solar Thermal"/>
    </sheetNames>
    <sheetDataSet>
      <sheetData sheetId="0"/>
      <sheetData sheetId="1">
        <row r="4">
          <cell r="A4">
            <v>3.7854099999999999E-3</v>
          </cell>
        </row>
        <row r="6">
          <cell r="A6">
            <v>0.27777777777777779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ily Grubert" refreshedDate="42863.702740162036" createdVersion="4" refreshedVersion="4" minRefreshableVersion="3" recordCount="69" xr:uid="{00000000-000A-0000-FFFF-FFFF06000000}">
  <cacheSource type="worksheet">
    <worksheetSource ref="A4:N73" sheet="Intermediate geothermal"/>
  </cacheSource>
  <cacheFields count="14">
    <cacheField name="Plant Id" numFmtId="0">
      <sharedItems containsSemiMixedTypes="0" containsString="0" containsNumber="1" containsInteger="1" minValue="286" maxValue="58629"/>
    </cacheField>
    <cacheField name="Net Generation_x000d_(Megawatthours)" numFmtId="3">
      <sharedItems containsSemiMixedTypes="0" containsString="0" containsNumber="1" containsInteger="1" minValue="0" maxValue="4591707"/>
    </cacheField>
    <cacheField name="YEAR" numFmtId="0">
      <sharedItems containsSemiMixedTypes="0" containsString="0" containsNumber="1" containsInteger="1" minValue="2014" maxValue="2014"/>
    </cacheField>
    <cacheField name="Plant type" numFmtId="0">
      <sharedItems count="3">
        <s v="flash steam"/>
        <s v="binary"/>
        <s v="dry steam"/>
      </sharedItems>
    </cacheField>
    <cacheField name="Water quality" numFmtId="0">
      <sharedItems count="3">
        <s v="fresh"/>
        <s v="brackish"/>
        <s v="none"/>
      </sharedItems>
    </cacheField>
    <cacheField name="Cooling type" numFmtId="0">
      <sharedItems count="3">
        <s v="wet"/>
        <s v="air"/>
        <s v="hybrid"/>
      </sharedItems>
    </cacheField>
    <cacheField name="Est water consumption, 2014, m^3" numFmtId="1">
      <sharedItems containsSemiMixedTypes="0" containsString="0" containsNumber="1" minValue="0" maxValue="3083759.2727939994"/>
    </cacheField>
    <cacheField name="Est water withdrawal, 2014, m^3" numFmtId="1">
      <sharedItems containsSemiMixedTypes="0" containsString="0" containsNumber="1" minValue="0" maxValue="3083759.2727939994"/>
    </cacheField>
    <cacheField name="Source" numFmtId="1">
      <sharedItems containsMixedTypes="1" containsNumber="1" containsInteger="1" minValue="0" maxValue="0" count="4">
        <s v="groundwater"/>
        <s v="surface water"/>
        <s v="none"/>
        <n v="0"/>
      </sharedItems>
    </cacheField>
    <cacheField name="Est water consumption, 2014, m^32" numFmtId="0">
      <sharedItems containsSemiMixedTypes="0" containsString="0" containsNumber="1" minValue="0" maxValue="17643985.280499998"/>
    </cacheField>
    <cacheField name="Est water withdrawal, 2014, m^32" numFmtId="0">
      <sharedItems containsSemiMixedTypes="0" containsString="0" containsNumber="1" minValue="0" maxValue="17643985.280499998"/>
    </cacheField>
    <cacheField name="Source2" numFmtId="1">
      <sharedItems containsBlank="1"/>
    </cacheField>
    <cacheField name="Quality" numFmtId="1">
      <sharedItems containsBlank="1"/>
    </cacheField>
    <cacheField name="m^3" numFmtId="1">
      <sharedItems containsSemiMixedTypes="0" containsString="0" containsNumber="1" minValue="0" maxValue="46930032.70614898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ily Grubert" refreshedDate="42930.605023958335" createdVersion="4" refreshedVersion="4" minRefreshableVersion="3" recordCount="52" xr:uid="{00000000-000A-0000-FFFF-FFFF07000000}">
  <cacheSource type="worksheet">
    <worksheetSource ref="A11:G63" sheet="Allocation of &quot;other&quot; fuels"/>
  </cacheSource>
  <cacheFields count="7">
    <cacheField name="Plant ID" numFmtId="0">
      <sharedItems containsSemiMixedTypes="0" containsString="0" containsNumber="1" containsInteger="1" minValue="1745" maxValue="59233"/>
    </cacheField>
    <cacheField name="Plant Name" numFmtId="0">
      <sharedItems/>
    </cacheField>
    <cacheField name="Reported Fuel Type Code" numFmtId="0">
      <sharedItems count="3">
        <s v="OTH"/>
        <s v="PUR"/>
        <s v="WH"/>
      </sharedItems>
    </cacheField>
    <cacheField name="Grubert fuel classification based on web searches for the plant name" numFmtId="0">
      <sharedItems count="6">
        <s v="Natural gas"/>
        <s v="Bituminous coal"/>
        <s v="Solid Biomass"/>
        <s v="Oil"/>
        <s v="Subbituminous coal"/>
        <s v="OTH" u="1"/>
      </sharedItems>
    </cacheField>
    <cacheField name="2014 MWh net generation" numFmtId="3">
      <sharedItems containsSemiMixedTypes="0" containsString="0" containsNumber="1" minValue="0.97" maxValue="522590.16"/>
    </cacheField>
    <cacheField name="Sanders water source classification" numFmtId="0">
      <sharedItems containsBlank="1" count="5">
        <s v="SW"/>
        <s v="GW"/>
        <s v="None"/>
        <s v="PD"/>
        <m u="1"/>
      </sharedItems>
    </cacheField>
    <cacheField name="Sanders water quality classification" numFmtId="0">
      <sharedItems containsMixedTypes="1" containsNumber="1" containsInteger="1" minValue="0" maxValue="0" count="5">
        <s v="FR"/>
        <s v="None"/>
        <s v="BE"/>
        <s v="SA"/>
        <n v="0"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mily Grubert" refreshedDate="42936.014218634256" createdVersion="4" refreshedVersion="4" minRefreshableVersion="3" recordCount="69" xr:uid="{00000000-000A-0000-FFFF-FFFF08000000}">
  <cacheSource type="worksheet">
    <worksheetSource ref="A4:I73" sheet="Intermediate geothermal"/>
  </cacheSource>
  <cacheFields count="9">
    <cacheField name="Plant Id" numFmtId="0">
      <sharedItems containsSemiMixedTypes="0" containsString="0" containsNumber="1" containsInteger="1" minValue="286" maxValue="58629"/>
    </cacheField>
    <cacheField name="Net Generation_x000d_(Megawatthours)" numFmtId="3">
      <sharedItems containsSemiMixedTypes="0" containsString="0" containsNumber="1" containsInteger="1" minValue="0" maxValue="4591707"/>
    </cacheField>
    <cacheField name="YEAR" numFmtId="0">
      <sharedItems containsSemiMixedTypes="0" containsString="0" containsNumber="1" containsInteger="1" minValue="2014" maxValue="2014"/>
    </cacheField>
    <cacheField name="Plant type" numFmtId="0">
      <sharedItems count="3">
        <s v="flash steam"/>
        <s v="binary"/>
        <s v="dry steam"/>
      </sharedItems>
    </cacheField>
    <cacheField name="Water quality" numFmtId="0">
      <sharedItems count="3">
        <s v="fresh"/>
        <s v="brackish"/>
        <s v="none"/>
      </sharedItems>
    </cacheField>
    <cacheField name="Cooling type" numFmtId="0">
      <sharedItems count="3">
        <s v="wet"/>
        <s v="air"/>
        <s v="hybrid"/>
      </sharedItems>
    </cacheField>
    <cacheField name="Est water consumption, 2014, m^3" numFmtId="1">
      <sharedItems containsSemiMixedTypes="0" containsString="0" containsNumber="1" minValue="0" maxValue="3083759.2727939994" count="68">
        <n v="695259.74379480013"/>
        <n v="41638.904334400002"/>
        <n v="48191.600460800008"/>
        <n v="10458.6335808"/>
        <n v="71085.608724399994"/>
        <n v="56195.925614"/>
        <n v="11068.993089199999"/>
        <n v="31377.263489999998"/>
        <n v="29021.61387246602"/>
        <n v="228177.21594149515"/>
        <n v="13531.478002399999"/>
        <n v="14271.601365600003"/>
        <n v="8523.6834052000013"/>
        <n v="10447.883016399999"/>
        <n v="54391.496375200004"/>
        <n v="48012.929108799995"/>
        <n v="52188.690588000005"/>
        <n v="49095.707785200007"/>
        <n v="168480.97917197837"/>
        <n v="71668.107615199988"/>
        <n v="68010.03880759998"/>
        <n v="51632.083901599988"/>
        <n v="10708.92489"/>
        <n v="16763.915309600001"/>
        <n v="74202.061069200005"/>
        <n v="41039.598223200002"/>
        <n v="6696.2388735999994"/>
        <n v="5478.6996011999991"/>
        <n v="5142.1009439999989"/>
        <n v="20870.782326800003"/>
        <n v="12098.7760256"/>
        <n v="230.91001"/>
        <n v="73855.4689296"/>
        <n v="8858.1622328000012"/>
        <n v="29577.528159600002"/>
        <n v="0"/>
        <n v="21151.659748800001"/>
        <n v="10342.0429528"/>
        <n v="10888.9589896"/>
        <n v="2911167.2892540004"/>
        <n v="955369.34661999997"/>
        <n v="979488.46497600002"/>
        <n v="38043.690291436804"/>
        <n v="568357.99691620481"/>
        <n v="12703.83596"/>
        <n v="44741.274954"/>
        <n v="45910.3609784"/>
        <n v="7923.4687955999989"/>
        <n v="1607.1336695999998"/>
        <n v="7893.1855155999992"/>
        <n v="1014174.1768059998"/>
        <n v="566857.57667999994"/>
        <n v="178959.04316"/>
        <n v="512722.42826999997"/>
        <n v="1782652.5321519999"/>
        <n v="3083759.2727939994"/>
        <n v="15664.1779964"/>
        <n v="1048666.8327259999"/>
        <n v="11801.697048800001"/>
        <n v="49285.281118000006"/>
        <n v="1768083.2461439997"/>
        <n v="11643.0126616"/>
        <n v="64987.010381600012"/>
        <n v="27779.9126588"/>
        <n v="17606.093326399998"/>
        <n v="22781.960127599999"/>
        <n v="24999.9075548"/>
        <n v="112435.76198399998"/>
      </sharedItems>
    </cacheField>
    <cacheField name="Est water withdrawal, 2014, m^3" numFmtId="1">
      <sharedItems containsSemiMixedTypes="0" containsString="0" containsNumber="1" minValue="0" maxValue="3083759.2727939994"/>
    </cacheField>
    <cacheField name="Source" numFmtId="1">
      <sharedItems count="2">
        <s v="groundwater"/>
        <s v="surface wate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
  <r>
    <n v="286"/>
    <n v="4591707"/>
    <n v="2014"/>
    <x v="0"/>
    <x v="0"/>
    <x v="0"/>
    <n v="695259.74379480013"/>
    <n v="695259.74379480013"/>
    <x v="0"/>
    <n v="17643985.280499998"/>
    <n v="17643985.280499998"/>
    <s v="reclaimed water"/>
    <s v="reclaimed"/>
    <n v="46930032.706148989"/>
  </r>
  <r>
    <n v="299"/>
    <n v="274996"/>
    <n v="2014"/>
    <x v="1"/>
    <x v="0"/>
    <x v="1"/>
    <n v="41638.904334400002"/>
    <n v="41638.904334400002"/>
    <x v="0"/>
    <n v="0"/>
    <n v="0"/>
    <m/>
    <m/>
    <n v="1926031.6854232233"/>
  </r>
  <r>
    <n v="510"/>
    <n v="318272"/>
    <n v="2014"/>
    <x v="2"/>
    <x v="0"/>
    <x v="0"/>
    <n v="48191.600460800008"/>
    <n v="48191.600460800008"/>
    <x v="0"/>
    <n v="0"/>
    <n v="0"/>
    <m/>
    <m/>
    <n v="3252933.0311039998"/>
  </r>
  <r>
    <n v="902"/>
    <n v="69072"/>
    <n v="2014"/>
    <x v="2"/>
    <x v="1"/>
    <x v="0"/>
    <n v="10458.6335808"/>
    <n v="10458.6335808"/>
    <x v="0"/>
    <n v="0"/>
    <n v="0"/>
    <m/>
    <m/>
    <n v="705957.76670400007"/>
  </r>
  <r>
    <n v="7368"/>
    <n v="469471"/>
    <n v="2014"/>
    <x v="2"/>
    <x v="1"/>
    <x v="0"/>
    <n v="71085.608724399994"/>
    <n v="71085.608724399994"/>
    <x v="0"/>
    <n v="0"/>
    <n v="0"/>
    <m/>
    <m/>
    <n v="4798278.588897001"/>
  </r>
  <r>
    <n v="7369"/>
    <n v="371135"/>
    <n v="2014"/>
    <x v="2"/>
    <x v="1"/>
    <x v="0"/>
    <n v="56195.925614"/>
    <n v="56195.925614"/>
    <x v="0"/>
    <n v="0"/>
    <n v="0"/>
    <m/>
    <m/>
    <n v="3793224.9789450006"/>
  </r>
  <r>
    <n v="10018"/>
    <n v="73103"/>
    <n v="2014"/>
    <x v="1"/>
    <x v="0"/>
    <x v="1"/>
    <n v="11068.993089199999"/>
    <n v="11068.993089199999"/>
    <x v="0"/>
    <n v="0"/>
    <n v="0"/>
    <m/>
    <m/>
    <n v="0"/>
  </r>
  <r>
    <n v="10199"/>
    <n v="207225"/>
    <n v="2014"/>
    <x v="2"/>
    <x v="0"/>
    <x v="0"/>
    <n v="31377.263489999998"/>
    <n v="31377.263489999998"/>
    <x v="0"/>
    <n v="0"/>
    <n v="0"/>
    <m/>
    <m/>
    <n v="2117965.2855750001"/>
  </r>
  <r>
    <n v="10287"/>
    <n v="12224"/>
    <n v="2014"/>
    <x v="1"/>
    <x v="0"/>
    <x v="0"/>
    <n v="29021.61387246602"/>
    <n v="29021.61387246602"/>
    <x v="0"/>
    <n v="0"/>
    <n v="0"/>
    <m/>
    <m/>
    <n v="103103.10191533981"/>
  </r>
  <r>
    <n v="10287"/>
    <n v="96109"/>
    <n v="2014"/>
    <x v="1"/>
    <x v="0"/>
    <x v="0"/>
    <n v="228177.21594149515"/>
    <n v="228177.21594149515"/>
    <x v="0"/>
    <n v="0"/>
    <n v="0"/>
    <m/>
    <m/>
    <n v="810629.58295004861"/>
  </r>
  <r>
    <n v="10469"/>
    <n v="89366"/>
    <n v="2014"/>
    <x v="2"/>
    <x v="0"/>
    <x v="0"/>
    <n v="13531.478002399999"/>
    <n v="13531.478002399999"/>
    <x v="0"/>
    <n v="0"/>
    <n v="0"/>
    <m/>
    <m/>
    <n v="913374.76516199997"/>
  </r>
  <r>
    <n v="10479"/>
    <n v="94254"/>
    <n v="2014"/>
    <x v="1"/>
    <x v="0"/>
    <x v="1"/>
    <n v="14271.601365600003"/>
    <n v="14271.601365600003"/>
    <x v="0"/>
    <n v="0"/>
    <n v="0"/>
    <m/>
    <m/>
    <n v="0"/>
  </r>
  <r>
    <n v="10480"/>
    <n v="56293"/>
    <n v="2014"/>
    <x v="1"/>
    <x v="0"/>
    <x v="1"/>
    <n v="8523.6834052000013"/>
    <n v="8523.6834052000013"/>
    <x v="0"/>
    <n v="0"/>
    <n v="0"/>
    <m/>
    <m/>
    <n v="0"/>
  </r>
  <r>
    <n v="10481"/>
    <n v="69001"/>
    <n v="2014"/>
    <x v="1"/>
    <x v="0"/>
    <x v="1"/>
    <n v="10447.883016399999"/>
    <n v="10447.883016399999"/>
    <x v="0"/>
    <n v="0"/>
    <n v="0"/>
    <m/>
    <m/>
    <n v="0"/>
  </r>
  <r>
    <n v="10631"/>
    <n v="359218"/>
    <n v="2014"/>
    <x v="0"/>
    <x v="0"/>
    <x v="0"/>
    <n v="54391.496375200004"/>
    <n v="54391.496375200004"/>
    <x v="1"/>
    <n v="0"/>
    <n v="0"/>
    <m/>
    <m/>
    <n v="3671426.0053260005"/>
  </r>
  <r>
    <n v="10632"/>
    <n v="317092"/>
    <n v="2014"/>
    <x v="0"/>
    <x v="0"/>
    <x v="0"/>
    <n v="48012.929108799995"/>
    <n v="48012.929108799995"/>
    <x v="1"/>
    <n v="0"/>
    <n v="0"/>
    <m/>
    <m/>
    <n v="3240872.7148440001"/>
  </r>
  <r>
    <n v="10634"/>
    <n v="344670"/>
    <n v="2014"/>
    <x v="0"/>
    <x v="0"/>
    <x v="0"/>
    <n v="52188.690588000005"/>
    <n v="52188.690588000005"/>
    <x v="1"/>
    <n v="0"/>
    <n v="0"/>
    <m/>
    <m/>
    <n v="3522736.6146900002"/>
  </r>
  <r>
    <n v="10759"/>
    <n v="324243"/>
    <n v="2014"/>
    <x v="0"/>
    <x v="0"/>
    <x v="0"/>
    <n v="49095.707785200007"/>
    <n v="49095.707785200007"/>
    <x v="1"/>
    <n v="0"/>
    <n v="0"/>
    <m/>
    <m/>
    <n v="3313960.2755010002"/>
  </r>
  <r>
    <n v="10763"/>
    <n v="46944"/>
    <n v="2014"/>
    <x v="0"/>
    <x v="0"/>
    <x v="0"/>
    <n v="168480.97917197837"/>
    <n v="168480.97917197837"/>
    <x v="1"/>
    <n v="0"/>
    <n v="0"/>
    <m/>
    <m/>
    <n v="350121.53311394597"/>
  </r>
  <r>
    <n v="10763"/>
    <n v="46944"/>
    <n v="2014"/>
    <x v="0"/>
    <x v="0"/>
    <x v="0"/>
    <n v="168480.97917197837"/>
    <n v="168480.97917197837"/>
    <x v="1"/>
    <n v="0"/>
    <n v="0"/>
    <m/>
    <m/>
    <n v="350121.53311394597"/>
  </r>
  <r>
    <n v="10873"/>
    <n v="473318"/>
    <n v="2014"/>
    <x v="0"/>
    <x v="0"/>
    <x v="0"/>
    <n v="71668.107615199988"/>
    <n v="71668.107615199988"/>
    <x v="0"/>
    <n v="2061144.46826361"/>
    <n v="2061144.46826361"/>
    <s v="groundwater"/>
    <s v="fresh"/>
    <n v="4837597.2640259992"/>
  </r>
  <r>
    <n v="10874"/>
    <n v="449159"/>
    <n v="2014"/>
    <x v="0"/>
    <x v="0"/>
    <x v="0"/>
    <n v="68010.03880759998"/>
    <n v="68010.03880759998"/>
    <x v="0"/>
    <n v="0"/>
    <n v="0"/>
    <m/>
    <m/>
    <n v="4590677.6195129994"/>
  </r>
  <r>
    <n v="10875"/>
    <n v="340994"/>
    <n v="2014"/>
    <x v="0"/>
    <x v="0"/>
    <x v="0"/>
    <n v="51632.083901599988"/>
    <n v="51632.083901599988"/>
    <x v="0"/>
    <n v="0"/>
    <n v="0"/>
    <m/>
    <m/>
    <n v="3485165.6633580001"/>
  </r>
  <r>
    <n v="10878"/>
    <n v="70725"/>
    <n v="2014"/>
    <x v="0"/>
    <x v="0"/>
    <x v="0"/>
    <n v="10708.92489"/>
    <n v="10708.92489"/>
    <x v="1"/>
    <n v="0"/>
    <n v="0"/>
    <m/>
    <m/>
    <n v="722852.43007499992"/>
  </r>
  <r>
    <n v="10879"/>
    <n v="110714"/>
    <n v="2014"/>
    <x v="0"/>
    <x v="0"/>
    <x v="0"/>
    <n v="16763.915309600001"/>
    <n v="16763.915309600001"/>
    <x v="1"/>
    <n v="0"/>
    <n v="0"/>
    <m/>
    <m/>
    <n v="1131564.2833980003"/>
  </r>
  <r>
    <n v="50066"/>
    <n v="490053"/>
    <n v="2014"/>
    <x v="2"/>
    <x v="0"/>
    <x v="0"/>
    <n v="74202.061069200005"/>
    <n v="74202.061069200005"/>
    <x v="0"/>
    <n v="0"/>
    <n v="0"/>
    <m/>
    <m/>
    <n v="5008639.1221709996"/>
  </r>
  <r>
    <n v="50210"/>
    <n v="271038"/>
    <n v="2014"/>
    <x v="0"/>
    <x v="0"/>
    <x v="0"/>
    <n v="41039.598223200002"/>
    <n v="41039.598223200002"/>
    <x v="1"/>
    <n v="0"/>
    <n v="0"/>
    <m/>
    <m/>
    <n v="2770172.8800660004"/>
  </r>
  <r>
    <n v="50654"/>
    <n v="44224"/>
    <n v="2014"/>
    <x v="1"/>
    <x v="0"/>
    <x v="1"/>
    <n v="6696.2388735999994"/>
    <n v="6696.2388735999994"/>
    <x v="0"/>
    <n v="0"/>
    <n v="0"/>
    <m/>
    <m/>
    <n v="328315.59253397014"/>
  </r>
  <r>
    <n v="50654"/>
    <n v="36183"/>
    <n v="2014"/>
    <x v="1"/>
    <x v="0"/>
    <x v="1"/>
    <n v="5478.6996011999991"/>
    <n v="5478.6996011999991"/>
    <x v="0"/>
    <n v="0"/>
    <n v="0"/>
    <m/>
    <m/>
    <n v="268619.8237304776"/>
  </r>
  <r>
    <n v="50762"/>
    <n v="33960"/>
    <n v="2014"/>
    <x v="0"/>
    <x v="0"/>
    <x v="0"/>
    <n v="5142.1009439999989"/>
    <n v="5142.1009439999989"/>
    <x v="1"/>
    <n v="0"/>
    <n v="0"/>
    <m/>
    <m/>
    <n v="347091.81372000009"/>
  </r>
  <r>
    <n v="50765"/>
    <n v="137837"/>
    <n v="2014"/>
    <x v="1"/>
    <x v="0"/>
    <x v="1"/>
    <n v="20870.782326800003"/>
    <n v="20870.782326800003"/>
    <x v="0"/>
    <n v="0"/>
    <n v="0"/>
    <m/>
    <m/>
    <n v="0"/>
  </r>
  <r>
    <n v="50766"/>
    <n v="79904"/>
    <n v="2014"/>
    <x v="0"/>
    <x v="0"/>
    <x v="0"/>
    <n v="12098.7760256"/>
    <n v="12098.7760256"/>
    <x v="1"/>
    <n v="0"/>
    <n v="0"/>
    <m/>
    <m/>
    <n v="816667.38172800012"/>
  </r>
  <r>
    <n v="50964"/>
    <n v="1525"/>
    <n v="2014"/>
    <x v="0"/>
    <x v="0"/>
    <x v="0"/>
    <n v="230.91001"/>
    <n v="230.91001"/>
    <x v="0"/>
    <n v="0"/>
    <n v="0"/>
    <m/>
    <m/>
    <n v="15586.425675000002"/>
  </r>
  <r>
    <n v="52015"/>
    <n v="487764"/>
    <n v="2014"/>
    <x v="0"/>
    <x v="0"/>
    <x v="0"/>
    <n v="73855.4689296"/>
    <n v="73855.4689296"/>
    <x v="0"/>
    <n v="946080"/>
    <n v="946080"/>
    <s v="groundwater"/>
    <s v="fresh"/>
    <n v="4985244.1527479999"/>
  </r>
  <r>
    <n v="52028"/>
    <n v="58502"/>
    <n v="2014"/>
    <x v="1"/>
    <x v="0"/>
    <x v="1"/>
    <n v="8858.1622328000012"/>
    <n v="8858.1622328000012"/>
    <x v="0"/>
    <n v="0"/>
    <n v="0"/>
    <m/>
    <m/>
    <n v="410341.33872529416"/>
  </r>
  <r>
    <n v="52028"/>
    <n v="195339"/>
    <n v="2014"/>
    <x v="1"/>
    <x v="0"/>
    <x v="1"/>
    <n v="29577.528159600002"/>
    <n v="29577.528159600002"/>
    <x v="0"/>
    <n v="0"/>
    <n v="0"/>
    <m/>
    <m/>
    <n v="1370135.4956285297"/>
  </r>
  <r>
    <n v="52138"/>
    <n v="0"/>
    <n v="2014"/>
    <x v="1"/>
    <x v="0"/>
    <x v="0"/>
    <n v="0"/>
    <n v="0"/>
    <x v="0"/>
    <n v="0"/>
    <n v="0"/>
    <m/>
    <m/>
    <n v="0"/>
  </r>
  <r>
    <n v="52158"/>
    <n v="139692"/>
    <n v="2014"/>
    <x v="2"/>
    <x v="0"/>
    <x v="0"/>
    <n v="21151.659748800001"/>
    <n v="21151.659748800001"/>
    <x v="0"/>
    <n v="0"/>
    <n v="0"/>
    <m/>
    <m/>
    <n v="1427737.0330439999"/>
  </r>
  <r>
    <n v="52174"/>
    <n v="68302"/>
    <n v="2014"/>
    <x v="0"/>
    <x v="0"/>
    <x v="2"/>
    <n v="10342.0429528"/>
    <n v="10342.0429528"/>
    <x v="0"/>
    <n v="0"/>
    <n v="0"/>
    <m/>
    <m/>
    <n v="258551.07381999999"/>
  </r>
  <r>
    <n v="54038"/>
    <n v="71914"/>
    <n v="2014"/>
    <x v="0"/>
    <x v="0"/>
    <x v="0"/>
    <n v="10888.9589896"/>
    <n v="10888.9589896"/>
    <x v="1"/>
    <n v="0"/>
    <n v="0"/>
    <m/>
    <m/>
    <n v="735004.73179800005"/>
  </r>
  <r>
    <n v="54111"/>
    <n v="226191"/>
    <n v="2014"/>
    <x v="1"/>
    <x v="0"/>
    <x v="0"/>
    <n v="2911167.2892540004"/>
    <n v="2911167.2892540004"/>
    <x v="1"/>
    <n v="0"/>
    <n v="0"/>
    <m/>
    <m/>
    <n v="0"/>
  </r>
  <r>
    <n v="54665"/>
    <n v="74230"/>
    <n v="2014"/>
    <x v="1"/>
    <x v="0"/>
    <x v="0"/>
    <n v="955369.34661999997"/>
    <n v="955369.34661999997"/>
    <x v="0"/>
    <n v="0"/>
    <n v="0"/>
    <m/>
    <m/>
    <n v="0"/>
  </r>
  <r>
    <n v="54666"/>
    <n v="76104"/>
    <n v="2014"/>
    <x v="1"/>
    <x v="0"/>
    <x v="0"/>
    <n v="979488.46497600002"/>
    <n v="979488.46497600002"/>
    <x v="0"/>
    <n v="0"/>
    <n v="0"/>
    <m/>
    <m/>
    <n v="0"/>
  </r>
  <r>
    <n v="54689"/>
    <n v="16626"/>
    <n v="2014"/>
    <x v="1"/>
    <x v="0"/>
    <x v="0"/>
    <n v="38043.690291436804"/>
    <n v="38043.690291436804"/>
    <x v="1"/>
    <n v="0"/>
    <n v="0"/>
    <m/>
    <m/>
    <n v="141379.93956902399"/>
  </r>
  <r>
    <n v="54689"/>
    <n v="248386"/>
    <n v="2014"/>
    <x v="1"/>
    <x v="0"/>
    <x v="0"/>
    <n v="568357.99691620481"/>
    <n v="568357.99691620481"/>
    <x v="1"/>
    <n v="0"/>
    <n v="0"/>
    <m/>
    <m/>
    <n v="2112161.534331264"/>
  </r>
  <r>
    <n v="54724"/>
    <n v="83900"/>
    <n v="2014"/>
    <x v="0"/>
    <x v="0"/>
    <x v="0"/>
    <n v="12703.83596"/>
    <n v="12703.83596"/>
    <x v="1"/>
    <n v="0"/>
    <n v="0"/>
    <m/>
    <m/>
    <n v="857508.92730000021"/>
  </r>
  <r>
    <n v="54996"/>
    <n v="295485"/>
    <n v="2014"/>
    <x v="0"/>
    <x v="0"/>
    <x v="0"/>
    <n v="44741.274954"/>
    <n v="44741.274954"/>
    <x v="1"/>
    <n v="0"/>
    <n v="0"/>
    <m/>
    <m/>
    <n v="3020036.0593949999"/>
  </r>
  <r>
    <n v="55983"/>
    <n v="303206"/>
    <n v="2014"/>
    <x v="0"/>
    <x v="0"/>
    <x v="0"/>
    <n v="45910.3609784"/>
    <n v="45910.3609784"/>
    <x v="1"/>
    <n v="0"/>
    <n v="0"/>
    <m/>
    <m/>
    <n v="3098949.3660420002"/>
  </r>
  <r>
    <n v="55984"/>
    <n v="52329"/>
    <n v="2014"/>
    <x v="0"/>
    <x v="0"/>
    <x v="0"/>
    <n v="7923.4687955999989"/>
    <n v="7923.4687955999989"/>
    <x v="1"/>
    <n v="0"/>
    <n v="0"/>
    <m/>
    <m/>
    <n v="534834.14370300015"/>
  </r>
  <r>
    <n v="55988"/>
    <n v="10614"/>
    <n v="2014"/>
    <x v="0"/>
    <x v="1"/>
    <x v="0"/>
    <n v="1607.1336695999998"/>
    <n v="1607.1336695999998"/>
    <x v="0"/>
    <n v="0"/>
    <n v="0"/>
    <m/>
    <m/>
    <n v="108481.52269800003"/>
  </r>
  <r>
    <n v="55991"/>
    <n v="52129"/>
    <n v="2014"/>
    <x v="0"/>
    <x v="0"/>
    <x v="0"/>
    <n v="7893.1855155999992"/>
    <n v="7893.1855155999992"/>
    <x v="0"/>
    <n v="0"/>
    <n v="0"/>
    <m/>
    <m/>
    <n v="532790.02230300021"/>
  </r>
  <r>
    <n v="56317"/>
    <n v="78799"/>
    <n v="2014"/>
    <x v="1"/>
    <x v="0"/>
    <x v="0"/>
    <n v="1014174.1768059998"/>
    <n v="1014174.1768059998"/>
    <x v="0"/>
    <n v="0"/>
    <n v="0"/>
    <m/>
    <m/>
    <n v="0"/>
  </r>
  <r>
    <n v="56321"/>
    <n v="149748"/>
    <n v="2014"/>
    <x v="1"/>
    <x v="0"/>
    <x v="2"/>
    <n v="566857.57667999994"/>
    <n v="566857.57667999994"/>
    <x v="0"/>
    <n v="0"/>
    <n v="0"/>
    <m/>
    <m/>
    <n v="0"/>
  </r>
  <r>
    <n v="56540"/>
    <n v="47276"/>
    <n v="2014"/>
    <x v="1"/>
    <x v="0"/>
    <x v="2"/>
    <n v="178959.04316"/>
    <n v="178959.04316"/>
    <x v="0"/>
    <n v="0"/>
    <n v="0"/>
    <m/>
    <m/>
    <n v="0"/>
  </r>
  <r>
    <n v="56541"/>
    <n v="135447"/>
    <n v="2014"/>
    <x v="1"/>
    <x v="0"/>
    <x v="2"/>
    <n v="512722.42826999997"/>
    <n v="512722.42826999997"/>
    <x v="0"/>
    <n v="0"/>
    <n v="0"/>
    <m/>
    <m/>
    <n v="0"/>
  </r>
  <r>
    <n v="56832"/>
    <n v="138508"/>
    <n v="2014"/>
    <x v="1"/>
    <x v="0"/>
    <x v="0"/>
    <n v="1782652.5321519999"/>
    <n v="1782652.5321519999"/>
    <x v="1"/>
    <n v="0"/>
    <n v="0"/>
    <m/>
    <m/>
    <n v="0"/>
  </r>
  <r>
    <n v="56982"/>
    <n v="239601"/>
    <n v="2014"/>
    <x v="1"/>
    <x v="0"/>
    <x v="0"/>
    <n v="3083759.2727939994"/>
    <n v="3083759.2727939994"/>
    <x v="0"/>
    <n v="0"/>
    <n v="0"/>
    <m/>
    <m/>
    <n v="0"/>
  </r>
  <r>
    <n v="57213"/>
    <n v="103451"/>
    <n v="2014"/>
    <x v="1"/>
    <x v="2"/>
    <x v="1"/>
    <n v="15664.1779964"/>
    <n v="15664.1779964"/>
    <x v="2"/>
    <n v="0"/>
    <n v="0"/>
    <m/>
    <m/>
    <n v="0"/>
  </r>
  <r>
    <n v="57353"/>
    <n v="81479"/>
    <n v="2014"/>
    <x v="1"/>
    <x v="0"/>
    <x v="0"/>
    <n v="1048666.8327259999"/>
    <n v="1048666.8327259999"/>
    <x v="0"/>
    <n v="0"/>
    <n v="0"/>
    <m/>
    <m/>
    <n v="0"/>
  </r>
  <r>
    <n v="57376"/>
    <n v="77942"/>
    <n v="2014"/>
    <x v="1"/>
    <x v="0"/>
    <x v="1"/>
    <n v="11801.697048800001"/>
    <n v="11801.697048800001"/>
    <x v="3"/>
    <n v="0"/>
    <n v="0"/>
    <m/>
    <m/>
    <n v="0"/>
  </r>
  <r>
    <n v="57446"/>
    <n v="325495"/>
    <n v="2014"/>
    <x v="1"/>
    <x v="0"/>
    <x v="1"/>
    <n v="49285.281118000006"/>
    <n v="49285.281118000006"/>
    <x v="3"/>
    <n v="0"/>
    <n v="0"/>
    <m/>
    <m/>
    <n v="0"/>
  </r>
  <r>
    <n v="57451"/>
    <n v="137376"/>
    <n v="2014"/>
    <x v="1"/>
    <x v="0"/>
    <x v="0"/>
    <n v="1768083.2461439997"/>
    <n v="1768083.2461439997"/>
    <x v="3"/>
    <n v="0"/>
    <n v="0"/>
    <m/>
    <m/>
    <n v="0"/>
  </r>
  <r>
    <n v="57456"/>
    <n v="76894"/>
    <n v="2014"/>
    <x v="0"/>
    <x v="0"/>
    <x v="0"/>
    <n v="11643.0126616"/>
    <n v="11643.0126616"/>
    <x v="0"/>
    <n v="0"/>
    <n v="0"/>
    <m/>
    <m/>
    <n v="785903.35465800005"/>
  </r>
  <r>
    <n v="57475"/>
    <n v="429194"/>
    <n v="2014"/>
    <x v="0"/>
    <x v="0"/>
    <x v="0"/>
    <n v="64987.010381600012"/>
    <n v="64987.010381600012"/>
    <x v="1"/>
    <n v="0"/>
    <n v="0"/>
    <m/>
    <m/>
    <n v="4386623.2007579999"/>
  </r>
  <r>
    <n v="58022"/>
    <n v="183467"/>
    <n v="2014"/>
    <x v="1"/>
    <x v="0"/>
    <x v="1"/>
    <n v="27779.9126588"/>
    <n v="27779.9126588"/>
    <x v="3"/>
    <n v="0"/>
    <n v="0"/>
    <m/>
    <m/>
    <n v="0"/>
  </r>
  <r>
    <n v="58319"/>
    <n v="116276"/>
    <n v="2014"/>
    <x v="1"/>
    <x v="0"/>
    <x v="1"/>
    <n v="17606.093326399998"/>
    <n v="17606.093326399998"/>
    <x v="3"/>
    <n v="0"/>
    <n v="0"/>
    <m/>
    <m/>
    <n v="0"/>
  </r>
  <r>
    <n v="58533"/>
    <n v="150459"/>
    <n v="2014"/>
    <x v="1"/>
    <x v="0"/>
    <x v="1"/>
    <n v="22781.960127599999"/>
    <n v="22781.960127599999"/>
    <x v="3"/>
    <n v="0"/>
    <n v="0"/>
    <m/>
    <m/>
    <n v="0"/>
  </r>
  <r>
    <n v="58570"/>
    <n v="165107"/>
    <n v="2014"/>
    <x v="1"/>
    <x v="0"/>
    <x v="1"/>
    <n v="24999.9075548"/>
    <n v="24999.9075548"/>
    <x v="3"/>
    <n v="0"/>
    <n v="0"/>
    <m/>
    <m/>
    <n v="0"/>
  </r>
  <r>
    <n v="58629"/>
    <n v="8736"/>
    <n v="2014"/>
    <x v="1"/>
    <x v="0"/>
    <x v="0"/>
    <n v="112435.76198399998"/>
    <n v="112435.76198399998"/>
    <x v="1"/>
    <n v="0"/>
    <n v="0"/>
    <m/>
    <m/>
    <n v="0"/>
  </r>
</pivotCacheRecords>
</file>

<file path=xl/pivotCache/pivotCacheRecords2.xml><?xml version="1.0" encoding="utf-8"?>
<pivotCacheRecords xmlns="http://schemas.openxmlformats.org/spreadsheetml/2006/main" xmlns:r="http://schemas.openxmlformats.org/officeDocument/2006/relationships" count="52">
  <r>
    <n v="1745"/>
    <s v="Trenton Channel"/>
    <x v="0"/>
    <x v="0"/>
    <n v="526.84299999999996"/>
    <x v="0"/>
    <x v="0"/>
  </r>
  <r>
    <n v="50481"/>
    <s v="Tennessee Eastman Operations"/>
    <x v="0"/>
    <x v="0"/>
    <n v="634.17100000000005"/>
    <x v="0"/>
    <x v="0"/>
  </r>
  <r>
    <n v="57842"/>
    <s v="Wabash Valley Power IGCC"/>
    <x v="0"/>
    <x v="1"/>
    <n v="29091.532999999999"/>
    <x v="0"/>
    <x v="0"/>
  </r>
  <r>
    <n v="10208"/>
    <s v="Escanaba Mill"/>
    <x v="0"/>
    <x v="2"/>
    <n v="15389.771000000001"/>
    <x v="0"/>
    <x v="0"/>
  </r>
  <r>
    <n v="55419"/>
    <s v="Plaquemine Cogeneration Plant"/>
    <x v="0"/>
    <x v="0"/>
    <n v="1817.624"/>
    <x v="0"/>
    <x v="0"/>
  </r>
  <r>
    <n v="50304"/>
    <s v="Shell Deer Park"/>
    <x v="1"/>
    <x v="3"/>
    <n v="99944"/>
    <x v="0"/>
    <x v="0"/>
  </r>
  <r>
    <n v="56163"/>
    <s v="Kennecott Power Plant"/>
    <x v="2"/>
    <x v="0"/>
    <n v="114404"/>
    <x v="1"/>
    <x v="0"/>
  </r>
  <r>
    <n v="6504"/>
    <s v="Dominguez Plant"/>
    <x v="0"/>
    <x v="3"/>
    <n v="111.102"/>
    <x v="2"/>
    <x v="1"/>
  </r>
  <r>
    <n v="52006"/>
    <s v="LaO Energy Systems"/>
    <x v="0"/>
    <x v="3"/>
    <n v="102.73050000000001"/>
    <x v="0"/>
    <x v="0"/>
  </r>
  <r>
    <n v="52006"/>
    <s v="LaO Energy Systems"/>
    <x v="0"/>
    <x v="3"/>
    <n v="102.73050000000001"/>
    <x v="0"/>
    <x v="0"/>
  </r>
  <r>
    <n v="4195"/>
    <s v="Phillips 66 Carbon Plant"/>
    <x v="2"/>
    <x v="3"/>
    <n v="91160"/>
    <x v="0"/>
    <x v="0"/>
  </r>
  <r>
    <n v="55066"/>
    <s v="Poet Biorefining Lake Crystal"/>
    <x v="2"/>
    <x v="3"/>
    <n v="6402"/>
    <x v="0"/>
    <x v="0"/>
  </r>
  <r>
    <n v="54758"/>
    <s v="Simplot Leasing Don Plant"/>
    <x v="0"/>
    <x v="0"/>
    <n v="74878"/>
    <x v="1"/>
    <x v="0"/>
  </r>
  <r>
    <n v="54805"/>
    <s v="J.R. Simplot Company"/>
    <x v="2"/>
    <x v="0"/>
    <n v="15940"/>
    <x v="3"/>
    <x v="2"/>
  </r>
  <r>
    <n v="10621"/>
    <s v="PPG Powerhouse A"/>
    <x v="1"/>
    <x v="3"/>
    <n v="29422"/>
    <x v="0"/>
    <x v="0"/>
  </r>
  <r>
    <n v="55557"/>
    <s v="Port Arthur Steam Energy"/>
    <x v="2"/>
    <x v="3"/>
    <n v="12188"/>
    <x v="0"/>
    <x v="0"/>
  </r>
  <r>
    <n v="50202"/>
    <s v="C&amp;H Sugar Plant"/>
    <x v="1"/>
    <x v="0"/>
    <n v="42002.94"/>
    <x v="0"/>
    <x v="0"/>
  </r>
  <r>
    <n v="50624"/>
    <s v="Wilmington Hydrogen Plant"/>
    <x v="2"/>
    <x v="0"/>
    <n v="203584.57"/>
    <x v="3"/>
    <x v="2"/>
  </r>
  <r>
    <n v="50388"/>
    <s v="BP Chemicals Green Lake Plant"/>
    <x v="2"/>
    <x v="0"/>
    <n v="15404"/>
    <x v="0"/>
    <x v="0"/>
  </r>
  <r>
    <n v="10623"/>
    <s v="PPG Riverside"/>
    <x v="1"/>
    <x v="3"/>
    <n v="220727"/>
    <x v="0"/>
    <x v="0"/>
  </r>
  <r>
    <n v="54694"/>
    <s v="Mosaic South Pierce Operations"/>
    <x v="2"/>
    <x v="0"/>
    <n v="238284"/>
    <x v="0"/>
    <x v="0"/>
  </r>
  <r>
    <n v="54749"/>
    <s v="Mosaic New Wales Operations"/>
    <x v="2"/>
    <x v="0"/>
    <n v="522590.16"/>
    <x v="0"/>
    <x v="0"/>
  </r>
  <r>
    <n v="10601"/>
    <s v="Tesoro Wilmington Calciner"/>
    <x v="2"/>
    <x v="3"/>
    <n v="214262"/>
    <x v="0"/>
    <x v="0"/>
  </r>
  <r>
    <n v="50371"/>
    <s v="The Mosaic Company, Plant City Facility"/>
    <x v="2"/>
    <x v="0"/>
    <n v="207420.92"/>
    <x v="0"/>
    <x v="0"/>
  </r>
  <r>
    <n v="6474"/>
    <s v="Martinez Sulfuric Acid Regeneration Plt"/>
    <x v="0"/>
    <x v="3"/>
    <n v="453.584"/>
    <x v="0"/>
    <x v="3"/>
  </r>
  <r>
    <n v="6056"/>
    <s v="Goodsprings Waste Heat Recovery"/>
    <x v="2"/>
    <x v="0"/>
    <n v="14965"/>
    <x v="0"/>
    <x v="3"/>
  </r>
  <r>
    <n v="54945"/>
    <s v="Swift Creek Chemical Complex"/>
    <x v="0"/>
    <x v="0"/>
    <n v="69632.736000000004"/>
    <x v="0"/>
    <x v="0"/>
  </r>
  <r>
    <n v="50205"/>
    <s v="Williams Ignacio Natural Gas Plant"/>
    <x v="2"/>
    <x v="3"/>
    <n v="42386"/>
    <x v="0"/>
    <x v="0"/>
  </r>
  <r>
    <n v="50404"/>
    <s v="Heat Recovery Coke Facility"/>
    <x v="2"/>
    <x v="3"/>
    <n v="342381"/>
    <x v="0"/>
    <x v="0"/>
  </r>
  <r>
    <n v="6288"/>
    <s v="East Kansas Agri-Energy, LLC"/>
    <x v="2"/>
    <x v="0"/>
    <n v="0.97"/>
    <x v="0"/>
    <x v="0"/>
  </r>
  <r>
    <n v="10610"/>
    <s v="Consumer Products (Camas) LLC"/>
    <x v="1"/>
    <x v="2"/>
    <n v="66234"/>
    <x v="0"/>
    <x v="0"/>
  </r>
  <r>
    <n v="57944"/>
    <s v="Simplot Phosphates"/>
    <x v="0"/>
    <x v="0"/>
    <n v="74052.906000000003"/>
    <x v="0"/>
    <x v="0"/>
  </r>
  <r>
    <n v="10425"/>
    <s v="Texas City Plant Union Carbide"/>
    <x v="1"/>
    <x v="3"/>
    <n v="76899.66"/>
    <x v="0"/>
    <x v="0"/>
  </r>
  <r>
    <n v="54785"/>
    <s v="Mosaic Co Bartow Facility"/>
    <x v="2"/>
    <x v="0"/>
    <n v="326750.56"/>
    <x v="0"/>
    <x v="0"/>
  </r>
  <r>
    <n v="3176"/>
    <s v="Houston Chemical Complex Battleground"/>
    <x v="0"/>
    <x v="3"/>
    <n v="10899.537"/>
    <x v="0"/>
    <x v="0"/>
  </r>
  <r>
    <n v="10606"/>
    <s v="Granite City Works"/>
    <x v="1"/>
    <x v="1"/>
    <n v="278471.87"/>
    <x v="0"/>
    <x v="3"/>
  </r>
  <r>
    <n v="54935"/>
    <s v="Suwannee River Chemical Complex"/>
    <x v="0"/>
    <x v="0"/>
    <n v="17871.035"/>
    <x v="0"/>
    <x v="0"/>
  </r>
  <r>
    <n v="10464"/>
    <s v="Duluth Paper Mill"/>
    <x v="1"/>
    <x v="2"/>
    <n v="53931"/>
    <x v="0"/>
    <x v="0"/>
  </r>
  <r>
    <n v="54533"/>
    <s v="Mosaic Phosphates Uncle Sam"/>
    <x v="0"/>
    <x v="0"/>
    <n v="85614.14"/>
    <x v="1"/>
    <x v="0"/>
  </r>
  <r>
    <n v="10381"/>
    <s v="Wisconsin Rapids Paper Mill"/>
    <x v="1"/>
    <x v="2"/>
    <n v="32208"/>
    <x v="1"/>
    <x v="0"/>
  </r>
  <r>
    <n v="54690"/>
    <s v="Mosaic Co Tampa Facility"/>
    <x v="0"/>
    <x v="0"/>
    <n v="225654.09"/>
    <x v="1"/>
    <x v="0"/>
  </r>
  <r>
    <n v="56319"/>
    <s v="Inland Paperboard Packaging Rome"/>
    <x v="0"/>
    <x v="2"/>
    <n v="2515.2890000000002"/>
    <x v="1"/>
    <x v="0"/>
  </r>
  <r>
    <n v="57046"/>
    <s v="LaFarge Alpena"/>
    <x v="0"/>
    <x v="1"/>
    <n v="1875.1010000000001"/>
    <x v="1"/>
    <x v="0"/>
  </r>
  <r>
    <n v="2059"/>
    <s v="Franklin Heating Station"/>
    <x v="1"/>
    <x v="3"/>
    <n v="16644.88"/>
    <x v="1"/>
    <x v="0"/>
  </r>
  <r>
    <n v="10605"/>
    <s v="Sherwin Alumina"/>
    <x v="1"/>
    <x v="1"/>
    <n v="151934"/>
    <x v="1"/>
    <x v="0"/>
  </r>
  <r>
    <n v="10822"/>
    <s v="Twin Rivers Paper Co LLC"/>
    <x v="1"/>
    <x v="2"/>
    <n v="96682"/>
    <x v="1"/>
    <x v="0"/>
  </r>
  <r>
    <n v="4259"/>
    <s v="Glen Ullin Station 6"/>
    <x v="2"/>
    <x v="4"/>
    <n v="31440"/>
    <x v="1"/>
    <x v="0"/>
  </r>
  <r>
    <n v="59233"/>
    <s v="ExxonMobil Oil Torrance Refinery"/>
    <x v="2"/>
    <x v="3"/>
    <n v="68496"/>
    <x v="1"/>
    <x v="0"/>
  </r>
  <r>
    <n v="50633"/>
    <s v="ADA Carbon Solutions Red River"/>
    <x v="2"/>
    <x v="3"/>
    <n v="42434.59"/>
    <x v="1"/>
    <x v="0"/>
  </r>
  <r>
    <n v="6285"/>
    <s v="PCS Phosphate"/>
    <x v="0"/>
    <x v="0"/>
    <n v="317875"/>
    <x v="2"/>
    <x v="1"/>
  </r>
  <r>
    <n v="57936"/>
    <s v="PPG Powerhouse C"/>
    <x v="0"/>
    <x v="3"/>
    <n v="81033.225000000006"/>
    <x v="2"/>
    <x v="1"/>
  </r>
  <r>
    <n v="57937"/>
    <s v="Houston Plant"/>
    <x v="0"/>
    <x v="3"/>
    <n v="13758"/>
    <x v="2"/>
    <x v="1"/>
  </r>
</pivotCacheRecords>
</file>

<file path=xl/pivotCache/pivotCacheRecords3.xml><?xml version="1.0" encoding="utf-8"?>
<pivotCacheRecords xmlns="http://schemas.openxmlformats.org/spreadsheetml/2006/main" xmlns:r="http://schemas.openxmlformats.org/officeDocument/2006/relationships" count="69">
  <r>
    <n v="286"/>
    <n v="4591707"/>
    <n v="2014"/>
    <x v="0"/>
    <x v="0"/>
    <x v="0"/>
    <x v="0"/>
    <n v="695259.74379480013"/>
    <x v="0"/>
  </r>
  <r>
    <n v="299"/>
    <n v="274996"/>
    <n v="2014"/>
    <x v="1"/>
    <x v="0"/>
    <x v="1"/>
    <x v="1"/>
    <n v="41638.904334400002"/>
    <x v="0"/>
  </r>
  <r>
    <n v="510"/>
    <n v="318272"/>
    <n v="2014"/>
    <x v="2"/>
    <x v="0"/>
    <x v="0"/>
    <x v="2"/>
    <n v="48191.600460800008"/>
    <x v="0"/>
  </r>
  <r>
    <n v="902"/>
    <n v="69072"/>
    <n v="2014"/>
    <x v="2"/>
    <x v="1"/>
    <x v="0"/>
    <x v="3"/>
    <n v="10458.6335808"/>
    <x v="0"/>
  </r>
  <r>
    <n v="7368"/>
    <n v="469471"/>
    <n v="2014"/>
    <x v="2"/>
    <x v="1"/>
    <x v="0"/>
    <x v="4"/>
    <n v="71085.608724399994"/>
    <x v="0"/>
  </r>
  <r>
    <n v="7369"/>
    <n v="371135"/>
    <n v="2014"/>
    <x v="2"/>
    <x v="1"/>
    <x v="0"/>
    <x v="5"/>
    <n v="56195.925614"/>
    <x v="0"/>
  </r>
  <r>
    <n v="10018"/>
    <n v="73103"/>
    <n v="2014"/>
    <x v="1"/>
    <x v="0"/>
    <x v="1"/>
    <x v="6"/>
    <n v="11068.993089199999"/>
    <x v="0"/>
  </r>
  <r>
    <n v="10199"/>
    <n v="207225"/>
    <n v="2014"/>
    <x v="2"/>
    <x v="0"/>
    <x v="0"/>
    <x v="7"/>
    <n v="31377.263489999998"/>
    <x v="0"/>
  </r>
  <r>
    <n v="10287"/>
    <n v="12224"/>
    <n v="2014"/>
    <x v="1"/>
    <x v="0"/>
    <x v="0"/>
    <x v="8"/>
    <n v="29021.61387246602"/>
    <x v="0"/>
  </r>
  <r>
    <n v="10287"/>
    <n v="96109"/>
    <n v="2014"/>
    <x v="1"/>
    <x v="0"/>
    <x v="0"/>
    <x v="9"/>
    <n v="228177.21594149515"/>
    <x v="0"/>
  </r>
  <r>
    <n v="10469"/>
    <n v="89366"/>
    <n v="2014"/>
    <x v="2"/>
    <x v="0"/>
    <x v="0"/>
    <x v="10"/>
    <n v="13531.478002399999"/>
    <x v="0"/>
  </r>
  <r>
    <n v="10479"/>
    <n v="94254"/>
    <n v="2014"/>
    <x v="1"/>
    <x v="0"/>
    <x v="1"/>
    <x v="11"/>
    <n v="14271.601365600003"/>
    <x v="0"/>
  </r>
  <r>
    <n v="10480"/>
    <n v="56293"/>
    <n v="2014"/>
    <x v="1"/>
    <x v="0"/>
    <x v="1"/>
    <x v="12"/>
    <n v="8523.6834052000013"/>
    <x v="0"/>
  </r>
  <r>
    <n v="10481"/>
    <n v="69001"/>
    <n v="2014"/>
    <x v="1"/>
    <x v="0"/>
    <x v="1"/>
    <x v="13"/>
    <n v="10447.883016399999"/>
    <x v="0"/>
  </r>
  <r>
    <n v="10631"/>
    <n v="359218"/>
    <n v="2014"/>
    <x v="0"/>
    <x v="0"/>
    <x v="0"/>
    <x v="14"/>
    <n v="54391.496375200004"/>
    <x v="1"/>
  </r>
  <r>
    <n v="10632"/>
    <n v="317092"/>
    <n v="2014"/>
    <x v="0"/>
    <x v="0"/>
    <x v="0"/>
    <x v="15"/>
    <n v="48012.929108799995"/>
    <x v="1"/>
  </r>
  <r>
    <n v="10634"/>
    <n v="344670"/>
    <n v="2014"/>
    <x v="0"/>
    <x v="0"/>
    <x v="0"/>
    <x v="16"/>
    <n v="52188.690588000005"/>
    <x v="1"/>
  </r>
  <r>
    <n v="10759"/>
    <n v="324243"/>
    <n v="2014"/>
    <x v="0"/>
    <x v="0"/>
    <x v="0"/>
    <x v="17"/>
    <n v="49095.707785200007"/>
    <x v="1"/>
  </r>
  <r>
    <n v="10763"/>
    <n v="46944"/>
    <n v="2014"/>
    <x v="0"/>
    <x v="0"/>
    <x v="0"/>
    <x v="18"/>
    <n v="168480.97917197837"/>
    <x v="1"/>
  </r>
  <r>
    <n v="10763"/>
    <n v="46944"/>
    <n v="2014"/>
    <x v="0"/>
    <x v="0"/>
    <x v="0"/>
    <x v="18"/>
    <n v="168480.97917197837"/>
    <x v="1"/>
  </r>
  <r>
    <n v="10873"/>
    <n v="473318"/>
    <n v="2014"/>
    <x v="0"/>
    <x v="0"/>
    <x v="0"/>
    <x v="19"/>
    <n v="71668.107615199988"/>
    <x v="0"/>
  </r>
  <r>
    <n v="10874"/>
    <n v="449159"/>
    <n v="2014"/>
    <x v="0"/>
    <x v="0"/>
    <x v="0"/>
    <x v="20"/>
    <n v="68010.03880759998"/>
    <x v="0"/>
  </r>
  <r>
    <n v="10875"/>
    <n v="340994"/>
    <n v="2014"/>
    <x v="0"/>
    <x v="0"/>
    <x v="0"/>
    <x v="21"/>
    <n v="51632.083901599988"/>
    <x v="0"/>
  </r>
  <r>
    <n v="10878"/>
    <n v="70725"/>
    <n v="2014"/>
    <x v="0"/>
    <x v="0"/>
    <x v="0"/>
    <x v="22"/>
    <n v="10708.92489"/>
    <x v="1"/>
  </r>
  <r>
    <n v="10879"/>
    <n v="110714"/>
    <n v="2014"/>
    <x v="0"/>
    <x v="0"/>
    <x v="0"/>
    <x v="23"/>
    <n v="16763.915309600001"/>
    <x v="1"/>
  </r>
  <r>
    <n v="50066"/>
    <n v="490053"/>
    <n v="2014"/>
    <x v="2"/>
    <x v="0"/>
    <x v="0"/>
    <x v="24"/>
    <n v="74202.061069200005"/>
    <x v="0"/>
  </r>
  <r>
    <n v="50210"/>
    <n v="271038"/>
    <n v="2014"/>
    <x v="0"/>
    <x v="0"/>
    <x v="0"/>
    <x v="25"/>
    <n v="41039.598223200002"/>
    <x v="1"/>
  </r>
  <r>
    <n v="50654"/>
    <n v="44224"/>
    <n v="2014"/>
    <x v="1"/>
    <x v="0"/>
    <x v="1"/>
    <x v="26"/>
    <n v="6696.2388735999994"/>
    <x v="0"/>
  </r>
  <r>
    <n v="50654"/>
    <n v="36183"/>
    <n v="2014"/>
    <x v="1"/>
    <x v="0"/>
    <x v="1"/>
    <x v="27"/>
    <n v="5478.6996011999991"/>
    <x v="0"/>
  </r>
  <r>
    <n v="50762"/>
    <n v="33960"/>
    <n v="2014"/>
    <x v="0"/>
    <x v="0"/>
    <x v="0"/>
    <x v="28"/>
    <n v="5142.1009439999989"/>
    <x v="1"/>
  </r>
  <r>
    <n v="50765"/>
    <n v="137837"/>
    <n v="2014"/>
    <x v="1"/>
    <x v="0"/>
    <x v="1"/>
    <x v="29"/>
    <n v="20870.782326800003"/>
    <x v="0"/>
  </r>
  <r>
    <n v="50766"/>
    <n v="79904"/>
    <n v="2014"/>
    <x v="0"/>
    <x v="0"/>
    <x v="0"/>
    <x v="30"/>
    <n v="12098.7760256"/>
    <x v="1"/>
  </r>
  <r>
    <n v="50964"/>
    <n v="1525"/>
    <n v="2014"/>
    <x v="0"/>
    <x v="0"/>
    <x v="0"/>
    <x v="31"/>
    <n v="230.91001"/>
    <x v="0"/>
  </r>
  <r>
    <n v="52015"/>
    <n v="487764"/>
    <n v="2014"/>
    <x v="0"/>
    <x v="0"/>
    <x v="0"/>
    <x v="32"/>
    <n v="73855.4689296"/>
    <x v="0"/>
  </r>
  <r>
    <n v="52028"/>
    <n v="58502"/>
    <n v="2014"/>
    <x v="1"/>
    <x v="0"/>
    <x v="1"/>
    <x v="33"/>
    <n v="8858.1622328000012"/>
    <x v="0"/>
  </r>
  <r>
    <n v="52028"/>
    <n v="195339"/>
    <n v="2014"/>
    <x v="1"/>
    <x v="0"/>
    <x v="1"/>
    <x v="34"/>
    <n v="29577.528159600002"/>
    <x v="0"/>
  </r>
  <r>
    <n v="52138"/>
    <n v="0"/>
    <n v="2014"/>
    <x v="1"/>
    <x v="0"/>
    <x v="0"/>
    <x v="35"/>
    <n v="0"/>
    <x v="0"/>
  </r>
  <r>
    <n v="52158"/>
    <n v="139692"/>
    <n v="2014"/>
    <x v="2"/>
    <x v="0"/>
    <x v="0"/>
    <x v="36"/>
    <n v="21151.659748800001"/>
    <x v="0"/>
  </r>
  <r>
    <n v="52174"/>
    <n v="68302"/>
    <n v="2014"/>
    <x v="0"/>
    <x v="0"/>
    <x v="2"/>
    <x v="37"/>
    <n v="10342.0429528"/>
    <x v="0"/>
  </r>
  <r>
    <n v="54038"/>
    <n v="71914"/>
    <n v="2014"/>
    <x v="0"/>
    <x v="0"/>
    <x v="0"/>
    <x v="38"/>
    <n v="10888.9589896"/>
    <x v="1"/>
  </r>
  <r>
    <n v="54111"/>
    <n v="226191"/>
    <n v="2014"/>
    <x v="1"/>
    <x v="0"/>
    <x v="0"/>
    <x v="39"/>
    <n v="2911167.2892540004"/>
    <x v="1"/>
  </r>
  <r>
    <n v="54665"/>
    <n v="74230"/>
    <n v="2014"/>
    <x v="1"/>
    <x v="0"/>
    <x v="0"/>
    <x v="40"/>
    <n v="955369.34661999997"/>
    <x v="0"/>
  </r>
  <r>
    <n v="54666"/>
    <n v="76104"/>
    <n v="2014"/>
    <x v="1"/>
    <x v="0"/>
    <x v="0"/>
    <x v="41"/>
    <n v="979488.46497600002"/>
    <x v="0"/>
  </r>
  <r>
    <n v="54689"/>
    <n v="16626"/>
    <n v="2014"/>
    <x v="1"/>
    <x v="0"/>
    <x v="0"/>
    <x v="42"/>
    <n v="38043.690291436804"/>
    <x v="1"/>
  </r>
  <r>
    <n v="54689"/>
    <n v="248386"/>
    <n v="2014"/>
    <x v="1"/>
    <x v="0"/>
    <x v="0"/>
    <x v="43"/>
    <n v="568357.99691620481"/>
    <x v="1"/>
  </r>
  <r>
    <n v="54724"/>
    <n v="83900"/>
    <n v="2014"/>
    <x v="0"/>
    <x v="0"/>
    <x v="0"/>
    <x v="44"/>
    <n v="12703.83596"/>
    <x v="1"/>
  </r>
  <r>
    <n v="54996"/>
    <n v="295485"/>
    <n v="2014"/>
    <x v="0"/>
    <x v="0"/>
    <x v="0"/>
    <x v="45"/>
    <n v="44741.274954"/>
    <x v="1"/>
  </r>
  <r>
    <n v="55983"/>
    <n v="303206"/>
    <n v="2014"/>
    <x v="0"/>
    <x v="0"/>
    <x v="0"/>
    <x v="46"/>
    <n v="45910.3609784"/>
    <x v="1"/>
  </r>
  <r>
    <n v="55984"/>
    <n v="52329"/>
    <n v="2014"/>
    <x v="0"/>
    <x v="0"/>
    <x v="0"/>
    <x v="47"/>
    <n v="7923.4687955999989"/>
    <x v="1"/>
  </r>
  <r>
    <n v="55988"/>
    <n v="10614"/>
    <n v="2014"/>
    <x v="0"/>
    <x v="1"/>
    <x v="0"/>
    <x v="48"/>
    <n v="1607.1336695999998"/>
    <x v="0"/>
  </r>
  <r>
    <n v="55991"/>
    <n v="52129"/>
    <n v="2014"/>
    <x v="0"/>
    <x v="0"/>
    <x v="0"/>
    <x v="49"/>
    <n v="7893.1855155999992"/>
    <x v="0"/>
  </r>
  <r>
    <n v="56317"/>
    <n v="78799"/>
    <n v="2014"/>
    <x v="1"/>
    <x v="0"/>
    <x v="0"/>
    <x v="50"/>
    <n v="1014174.1768059998"/>
    <x v="0"/>
  </r>
  <r>
    <n v="56321"/>
    <n v="149748"/>
    <n v="2014"/>
    <x v="1"/>
    <x v="0"/>
    <x v="2"/>
    <x v="51"/>
    <n v="566857.57667999994"/>
    <x v="0"/>
  </r>
  <r>
    <n v="56540"/>
    <n v="47276"/>
    <n v="2014"/>
    <x v="1"/>
    <x v="0"/>
    <x v="2"/>
    <x v="52"/>
    <n v="178959.04316"/>
    <x v="0"/>
  </r>
  <r>
    <n v="56541"/>
    <n v="135447"/>
    <n v="2014"/>
    <x v="1"/>
    <x v="0"/>
    <x v="2"/>
    <x v="53"/>
    <n v="512722.42826999997"/>
    <x v="0"/>
  </r>
  <r>
    <n v="56832"/>
    <n v="138508"/>
    <n v="2014"/>
    <x v="1"/>
    <x v="0"/>
    <x v="0"/>
    <x v="54"/>
    <n v="1782652.5321519999"/>
    <x v="1"/>
  </r>
  <r>
    <n v="56982"/>
    <n v="239601"/>
    <n v="2014"/>
    <x v="1"/>
    <x v="0"/>
    <x v="0"/>
    <x v="55"/>
    <n v="3083759.2727939994"/>
    <x v="0"/>
  </r>
  <r>
    <n v="57213"/>
    <n v="103451"/>
    <n v="2014"/>
    <x v="1"/>
    <x v="2"/>
    <x v="1"/>
    <x v="56"/>
    <n v="15664.1779964"/>
    <x v="0"/>
  </r>
  <r>
    <n v="57353"/>
    <n v="81479"/>
    <n v="2014"/>
    <x v="1"/>
    <x v="0"/>
    <x v="0"/>
    <x v="57"/>
    <n v="1048666.8327259999"/>
    <x v="0"/>
  </r>
  <r>
    <n v="57376"/>
    <n v="77942"/>
    <n v="2014"/>
    <x v="1"/>
    <x v="0"/>
    <x v="1"/>
    <x v="58"/>
    <n v="11801.697048800001"/>
    <x v="0"/>
  </r>
  <r>
    <n v="57446"/>
    <n v="325495"/>
    <n v="2014"/>
    <x v="1"/>
    <x v="0"/>
    <x v="1"/>
    <x v="59"/>
    <n v="49285.281118000006"/>
    <x v="0"/>
  </r>
  <r>
    <n v="57451"/>
    <n v="137376"/>
    <n v="2014"/>
    <x v="1"/>
    <x v="0"/>
    <x v="0"/>
    <x v="60"/>
    <n v="1768083.2461439997"/>
    <x v="0"/>
  </r>
  <r>
    <n v="57456"/>
    <n v="76894"/>
    <n v="2014"/>
    <x v="0"/>
    <x v="0"/>
    <x v="0"/>
    <x v="61"/>
    <n v="11643.0126616"/>
    <x v="0"/>
  </r>
  <r>
    <n v="57475"/>
    <n v="429194"/>
    <n v="2014"/>
    <x v="0"/>
    <x v="0"/>
    <x v="0"/>
    <x v="62"/>
    <n v="64987.010381600012"/>
    <x v="1"/>
  </r>
  <r>
    <n v="58022"/>
    <n v="183467"/>
    <n v="2014"/>
    <x v="1"/>
    <x v="0"/>
    <x v="1"/>
    <x v="63"/>
    <n v="27779.9126588"/>
    <x v="0"/>
  </r>
  <r>
    <n v="58319"/>
    <n v="116276"/>
    <n v="2014"/>
    <x v="1"/>
    <x v="0"/>
    <x v="1"/>
    <x v="64"/>
    <n v="17606.093326399998"/>
    <x v="0"/>
  </r>
  <r>
    <n v="58533"/>
    <n v="150459"/>
    <n v="2014"/>
    <x v="1"/>
    <x v="0"/>
    <x v="1"/>
    <x v="65"/>
    <n v="22781.960127599999"/>
    <x v="0"/>
  </r>
  <r>
    <n v="58570"/>
    <n v="165107"/>
    <n v="2014"/>
    <x v="1"/>
    <x v="0"/>
    <x v="1"/>
    <x v="66"/>
    <n v="24999.9075548"/>
    <x v="0"/>
  </r>
  <r>
    <n v="58629"/>
    <n v="8736"/>
    <n v="2014"/>
    <x v="1"/>
    <x v="0"/>
    <x v="0"/>
    <x v="67"/>
    <n v="112435.76198399998"/>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2200-000000000000}" name="PivotTable3"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68:G77" firstHeaderRow="1" firstDataRow="2" firstDataCol="1" rowPageCount="1" colPageCount="1"/>
  <pivotFields count="7">
    <pivotField showAll="0"/>
    <pivotField showAll="0"/>
    <pivotField axis="axisPage" showAll="0">
      <items count="4">
        <item x="0"/>
        <item x="1"/>
        <item x="2"/>
        <item t="default"/>
      </items>
    </pivotField>
    <pivotField axis="axisCol" showAll="0">
      <items count="7">
        <item x="1"/>
        <item x="0"/>
        <item x="3"/>
        <item m="1" x="5"/>
        <item x="2"/>
        <item x="4"/>
        <item t="default"/>
      </items>
    </pivotField>
    <pivotField dataField="1" numFmtId="3" showAll="0"/>
    <pivotField axis="axisRow" showAll="0">
      <items count="6">
        <item x="1"/>
        <item h="1" x="2"/>
        <item x="3"/>
        <item x="0"/>
        <item h="1" m="1" x="4"/>
        <item t="default"/>
      </items>
    </pivotField>
    <pivotField axis="axisRow" showAll="0">
      <items count="6">
        <item m="1" x="4"/>
        <item x="2"/>
        <item x="0"/>
        <item x="1"/>
        <item x="3"/>
        <item t="default"/>
      </items>
    </pivotField>
  </pivotFields>
  <rowFields count="2">
    <field x="5"/>
    <field x="6"/>
  </rowFields>
  <rowItems count="8">
    <i>
      <x/>
    </i>
    <i r="1">
      <x v="2"/>
    </i>
    <i>
      <x v="2"/>
    </i>
    <i r="1">
      <x v="1"/>
    </i>
    <i>
      <x v="3"/>
    </i>
    <i r="1">
      <x v="2"/>
    </i>
    <i r="1">
      <x v="4"/>
    </i>
    <i t="grand">
      <x/>
    </i>
  </rowItems>
  <colFields count="1">
    <field x="3"/>
  </colFields>
  <colItems count="6">
    <i>
      <x/>
    </i>
    <i>
      <x v="1"/>
    </i>
    <i>
      <x v="2"/>
    </i>
    <i>
      <x v="4"/>
    </i>
    <i>
      <x v="5"/>
    </i>
    <i t="grand">
      <x/>
    </i>
  </colItems>
  <pageFields count="1">
    <pageField fld="2" hier="-1"/>
  </pageFields>
  <dataFields count="1">
    <dataField name="Sum of 2014 MWh net generation" fld="4" baseField="0" baseItem="0"/>
  </dataFields>
  <formats count="43">
    <format dxfId="43">
      <pivotArea collapsedLevelsAreSubtotals="1" fieldPosition="0">
        <references count="1">
          <reference field="5" count="1">
            <x v="0"/>
          </reference>
        </references>
      </pivotArea>
    </format>
    <format dxfId="42">
      <pivotArea collapsedLevelsAreSubtotals="1" fieldPosition="0">
        <references count="2">
          <reference field="5" count="1" selected="0">
            <x v="0"/>
          </reference>
          <reference field="6" count="1">
            <x v="2"/>
          </reference>
        </references>
      </pivotArea>
    </format>
    <format dxfId="41">
      <pivotArea collapsedLevelsAreSubtotals="1" fieldPosition="0">
        <references count="1">
          <reference field="5" count="1">
            <x v="1"/>
          </reference>
        </references>
      </pivotArea>
    </format>
    <format dxfId="40">
      <pivotArea collapsedLevelsAreSubtotals="1" fieldPosition="0">
        <references count="2">
          <reference field="5" count="1" selected="0">
            <x v="1"/>
          </reference>
          <reference field="6" count="1">
            <x v="3"/>
          </reference>
        </references>
      </pivotArea>
    </format>
    <format dxfId="39">
      <pivotArea type="origin" dataOnly="0" labelOnly="1" outline="0" fieldPosition="0"/>
    </format>
    <format dxfId="38">
      <pivotArea field="5" type="button" dataOnly="0" labelOnly="1" outline="0" axis="axisRow" fieldPosition="0"/>
    </format>
    <format dxfId="37">
      <pivotArea field="3" type="button" dataOnly="0" labelOnly="1" outline="0" axis="axisCol" fieldPosition="0"/>
    </format>
    <format dxfId="36">
      <pivotArea type="topRight" dataOnly="0" labelOnly="1" outline="0" fieldPosition="0"/>
    </format>
    <format dxfId="35">
      <pivotArea dataOnly="0" labelOnly="1" fieldPosition="0">
        <references count="1">
          <reference field="5" count="2">
            <x v="0"/>
            <x v="1"/>
          </reference>
        </references>
      </pivotArea>
    </format>
    <format dxfId="34">
      <pivotArea dataOnly="0" labelOnly="1" fieldPosition="0">
        <references count="2">
          <reference field="5" count="1" selected="0">
            <x v="0"/>
          </reference>
          <reference field="6" count="2">
            <x v="2"/>
            <x v="3"/>
          </reference>
        </references>
      </pivotArea>
    </format>
    <format dxfId="33">
      <pivotArea dataOnly="0" labelOnly="1" fieldPosition="0">
        <references count="1">
          <reference field="3" count="0"/>
        </references>
      </pivotArea>
    </format>
    <format dxfId="32">
      <pivotArea dataOnly="0" labelOnly="1" grandCol="1" outline="0" fieldPosition="0"/>
    </format>
    <format dxfId="31">
      <pivotArea collapsedLevelsAreSubtotals="1" fieldPosition="0">
        <references count="2">
          <reference field="5" count="1" selected="0">
            <x v="2"/>
          </reference>
          <reference field="6" count="1">
            <x v="1"/>
          </reference>
        </references>
      </pivotArea>
    </format>
    <format dxfId="30">
      <pivotArea collapsedLevelsAreSubtotals="1" fieldPosition="0">
        <references count="1">
          <reference field="5" count="1">
            <x v="3"/>
          </reference>
        </references>
      </pivotArea>
    </format>
    <format dxfId="29">
      <pivotArea collapsedLevelsAreSubtotals="1" fieldPosition="0">
        <references count="2">
          <reference field="5" count="1" selected="0">
            <x v="3"/>
          </reference>
          <reference field="6" count="2">
            <x v="2"/>
            <x v="4"/>
          </reference>
        </references>
      </pivotArea>
    </format>
    <format dxfId="28">
      <pivotArea collapsedLevelsAreSubtotals="1" fieldPosition="0">
        <references count="1">
          <reference field="5" count="1">
            <x v="4"/>
          </reference>
        </references>
      </pivotArea>
    </format>
    <format dxfId="27">
      <pivotArea collapsedLevelsAreSubtotals="1" fieldPosition="0">
        <references count="2">
          <reference field="5" count="1" selected="0">
            <x v="4"/>
          </reference>
          <reference field="6" count="1">
            <x v="0"/>
          </reference>
        </references>
      </pivotArea>
    </format>
    <format dxfId="26">
      <pivotArea grandRow="1" outline="0" collapsedLevelsAreSubtotals="1" fieldPosition="0"/>
    </format>
    <format dxfId="25">
      <pivotArea dataOnly="0" labelOnly="1" fieldPosition="0">
        <references count="1">
          <reference field="5" count="2">
            <x v="3"/>
            <x v="4"/>
          </reference>
        </references>
      </pivotArea>
    </format>
    <format dxfId="24">
      <pivotArea dataOnly="0" labelOnly="1" grandRow="1" outline="0" fieldPosition="0"/>
    </format>
    <format dxfId="23">
      <pivotArea dataOnly="0" labelOnly="1" fieldPosition="0">
        <references count="2">
          <reference field="5" count="1" selected="0">
            <x v="2"/>
          </reference>
          <reference field="6" count="4">
            <x v="0"/>
            <x v="1"/>
            <x v="2"/>
            <x v="4"/>
          </reference>
        </references>
      </pivotArea>
    </format>
    <format dxfId="22">
      <pivotArea collapsedLevelsAreSubtotals="1" fieldPosition="0">
        <references count="1">
          <reference field="5" count="1">
            <x v="0"/>
          </reference>
        </references>
      </pivotArea>
    </format>
    <format dxfId="21">
      <pivotArea collapsedLevelsAreSubtotals="1" fieldPosition="0">
        <references count="2">
          <reference field="5" count="1" selected="0">
            <x v="0"/>
          </reference>
          <reference field="6" count="1">
            <x v="2"/>
          </reference>
        </references>
      </pivotArea>
    </format>
    <format dxfId="20">
      <pivotArea collapsedLevelsAreSubtotals="1" fieldPosition="0">
        <references count="1">
          <reference field="5" count="1">
            <x v="1"/>
          </reference>
        </references>
      </pivotArea>
    </format>
    <format dxfId="19">
      <pivotArea collapsedLevelsAreSubtotals="1" fieldPosition="0">
        <references count="2">
          <reference field="5" count="1" selected="0">
            <x v="1"/>
          </reference>
          <reference field="6" count="1">
            <x v="3"/>
          </reference>
        </references>
      </pivotArea>
    </format>
    <format dxfId="18">
      <pivotArea type="origin" dataOnly="0" labelOnly="1" outline="0" fieldPosition="0"/>
    </format>
    <format dxfId="17">
      <pivotArea field="5" type="button" dataOnly="0" labelOnly="1" outline="0" axis="axisRow" fieldPosition="0"/>
    </format>
    <format dxfId="16">
      <pivotArea field="3" type="button" dataOnly="0" labelOnly="1" outline="0" axis="axisCol" fieldPosition="0"/>
    </format>
    <format dxfId="15">
      <pivotArea type="topRight" dataOnly="0" labelOnly="1" outline="0" fieldPosition="0"/>
    </format>
    <format dxfId="14">
      <pivotArea dataOnly="0" labelOnly="1" fieldPosition="0">
        <references count="1">
          <reference field="5" count="2">
            <x v="0"/>
            <x v="1"/>
          </reference>
        </references>
      </pivotArea>
    </format>
    <format dxfId="13">
      <pivotArea dataOnly="0" labelOnly="1" fieldPosition="0">
        <references count="2">
          <reference field="5" count="1" selected="0">
            <x v="0"/>
          </reference>
          <reference field="6" count="2">
            <x v="2"/>
            <x v="3"/>
          </reference>
        </references>
      </pivotArea>
    </format>
    <format dxfId="12">
      <pivotArea dataOnly="0" labelOnly="1" fieldPosition="0">
        <references count="1">
          <reference field="3" count="0"/>
        </references>
      </pivotArea>
    </format>
    <format dxfId="11">
      <pivotArea dataOnly="0" labelOnly="1" grandCol="1" outline="0" fieldPosition="0"/>
    </format>
    <format dxfId="10">
      <pivotArea collapsedLevelsAreSubtotals="1" fieldPosition="0">
        <references count="2">
          <reference field="5" count="1" selected="0">
            <x v="2"/>
          </reference>
          <reference field="6" count="1">
            <x v="1"/>
          </reference>
        </references>
      </pivotArea>
    </format>
    <format dxfId="9">
      <pivotArea collapsedLevelsAreSubtotals="1" fieldPosition="0">
        <references count="1">
          <reference field="5" count="1">
            <x v="3"/>
          </reference>
        </references>
      </pivotArea>
    </format>
    <format dxfId="8">
      <pivotArea collapsedLevelsAreSubtotals="1" fieldPosition="0">
        <references count="2">
          <reference field="5" count="1" selected="0">
            <x v="3"/>
          </reference>
          <reference field="6" count="2">
            <x v="2"/>
            <x v="4"/>
          </reference>
        </references>
      </pivotArea>
    </format>
    <format dxfId="7">
      <pivotArea collapsedLevelsAreSubtotals="1" fieldPosition="0">
        <references count="1">
          <reference field="5" count="1">
            <x v="4"/>
          </reference>
        </references>
      </pivotArea>
    </format>
    <format dxfId="6">
      <pivotArea collapsedLevelsAreSubtotals="1" fieldPosition="0">
        <references count="2">
          <reference field="5" count="1" selected="0">
            <x v="4"/>
          </reference>
          <reference field="6" count="1">
            <x v="0"/>
          </reference>
        </references>
      </pivotArea>
    </format>
    <format dxfId="5">
      <pivotArea grandRow="1" outline="0" collapsedLevelsAreSubtotals="1" fieldPosition="0"/>
    </format>
    <format dxfId="4">
      <pivotArea dataOnly="0" labelOnly="1" fieldPosition="0">
        <references count="1">
          <reference field="5" count="2">
            <x v="3"/>
            <x v="4"/>
          </reference>
        </references>
      </pivotArea>
    </format>
    <format dxfId="3">
      <pivotArea dataOnly="0" labelOnly="1" grandRow="1" outline="0" fieldPosition="0"/>
    </format>
    <format dxfId="2">
      <pivotArea dataOnly="0" labelOnly="1" fieldPosition="0">
        <references count="2">
          <reference field="5" count="1" selected="0">
            <x v="2"/>
          </reference>
          <reference field="6" count="4">
            <x v="0"/>
            <x v="1"/>
            <x v="2"/>
            <x v="4"/>
          </reference>
        </references>
      </pivotArea>
    </format>
    <format dxfId="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8:D88" firstHeaderRow="0" firstDataRow="1" firstDataCol="1" rowPageCount="2" colPageCount="1"/>
  <pivotFields count="14">
    <pivotField showAll="0"/>
    <pivotField dataField="1" numFmtId="3" showAll="0"/>
    <pivotField showAll="0"/>
    <pivotField axis="axisRow" showAll="0">
      <items count="4">
        <item x="1"/>
        <item x="2"/>
        <item x="0"/>
        <item t="default"/>
      </items>
    </pivotField>
    <pivotField axis="axisPage" showAll="0">
      <items count="4">
        <item x="0"/>
        <item x="1"/>
        <item x="2"/>
        <item t="default"/>
      </items>
    </pivotField>
    <pivotField axis="axisRow" showAll="0">
      <items count="4">
        <item x="0"/>
        <item x="1"/>
        <item x="2"/>
        <item t="default"/>
      </items>
    </pivotField>
    <pivotField dataField="1" numFmtId="1" showAll="0"/>
    <pivotField dataField="1" numFmtId="1" showAll="0"/>
    <pivotField axis="axisPage" showAll="0">
      <items count="5">
        <item x="3"/>
        <item x="0"/>
        <item x="2"/>
        <item x="1"/>
        <item t="default"/>
      </items>
    </pivotField>
    <pivotField showAll="0"/>
    <pivotField showAll="0"/>
    <pivotField showAll="0"/>
    <pivotField showAll="0"/>
    <pivotField numFmtId="1" showAll="0"/>
  </pivotFields>
  <rowFields count="2">
    <field x="5"/>
    <field x="3"/>
  </rowFields>
  <rowItems count="10">
    <i>
      <x/>
    </i>
    <i r="1">
      <x/>
    </i>
    <i r="1">
      <x v="1"/>
    </i>
    <i r="1">
      <x v="2"/>
    </i>
    <i>
      <x v="1"/>
    </i>
    <i r="1">
      <x/>
    </i>
    <i>
      <x v="2"/>
    </i>
    <i r="1">
      <x/>
    </i>
    <i r="1">
      <x v="2"/>
    </i>
    <i t="grand">
      <x/>
    </i>
  </rowItems>
  <colFields count="1">
    <field x="-2"/>
  </colFields>
  <colItems count="3">
    <i>
      <x/>
    </i>
    <i i="1">
      <x v="1"/>
    </i>
    <i i="2">
      <x v="2"/>
    </i>
  </colItems>
  <pageFields count="2">
    <pageField fld="8" hier="-1"/>
    <pageField fld="4" hier="-1"/>
  </pageFields>
  <dataFields count="3">
    <dataField name="Sum of Est water withdrawal, 2014, m^3" fld="7" baseField="0" baseItem="0"/>
    <dataField name="Sum of Est water consumption, 2014, m^3" fld="6" baseField="0" baseItem="0"/>
    <dataField name="Sum of Net Generation_x000d_(Megawatthours)" fld="1" baseField="0" baseItem="0"/>
  </dataFields>
  <formats count="1">
    <format dxfId="0">
      <pivotArea type="all" dataOnly="0"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2500-000002000000}" name="PivotTable3"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P43:Z48" firstHeaderRow="1" firstDataRow="3" firstDataCol="1"/>
  <pivotFields count="9">
    <pivotField showAll="0"/>
    <pivotField numFmtId="3" showAll="0"/>
    <pivotField showAll="0"/>
    <pivotField axis="axisCol" showAll="0">
      <items count="4">
        <item x="1"/>
        <item x="2"/>
        <item x="0"/>
        <item t="default"/>
      </items>
    </pivotField>
    <pivotField showAll="0">
      <items count="4">
        <item x="1"/>
        <item x="0"/>
        <item x="2"/>
        <item t="default"/>
      </items>
    </pivotField>
    <pivotField axis="axisCol" showAll="0">
      <items count="4">
        <item x="1"/>
        <item x="2"/>
        <item x="0"/>
        <item t="default"/>
      </items>
    </pivotField>
    <pivotField dataField="1" numFmtId="1" showAll="0">
      <items count="69">
        <item x="35"/>
        <item x="31"/>
        <item x="48"/>
        <item x="28"/>
        <item x="27"/>
        <item x="26"/>
        <item x="49"/>
        <item x="47"/>
        <item x="12"/>
        <item x="33"/>
        <item x="37"/>
        <item x="13"/>
        <item x="3"/>
        <item x="22"/>
        <item x="38"/>
        <item x="6"/>
        <item x="61"/>
        <item x="58"/>
        <item x="30"/>
        <item x="44"/>
        <item x="10"/>
        <item x="11"/>
        <item x="56"/>
        <item x="23"/>
        <item x="64"/>
        <item x="29"/>
        <item x="36"/>
        <item x="65"/>
        <item x="66"/>
        <item x="63"/>
        <item x="8"/>
        <item x="34"/>
        <item x="7"/>
        <item x="42"/>
        <item x="25"/>
        <item x="1"/>
        <item x="45"/>
        <item x="46"/>
        <item x="15"/>
        <item x="2"/>
        <item x="17"/>
        <item x="59"/>
        <item x="21"/>
        <item x="16"/>
        <item x="14"/>
        <item x="5"/>
        <item x="62"/>
        <item x="20"/>
        <item x="4"/>
        <item x="19"/>
        <item x="32"/>
        <item x="24"/>
        <item x="67"/>
        <item x="18"/>
        <item x="52"/>
        <item x="9"/>
        <item x="53"/>
        <item x="51"/>
        <item x="43"/>
        <item x="0"/>
        <item x="40"/>
        <item x="41"/>
        <item x="50"/>
        <item x="57"/>
        <item x="60"/>
        <item x="54"/>
        <item x="39"/>
        <item x="55"/>
        <item t="default"/>
      </items>
    </pivotField>
    <pivotField numFmtId="1" showAll="0"/>
    <pivotField axis="axisRow" showAll="0">
      <items count="3">
        <item x="0"/>
        <item x="1"/>
        <item t="default"/>
      </items>
    </pivotField>
  </pivotFields>
  <rowFields count="1">
    <field x="8"/>
  </rowFields>
  <rowItems count="3">
    <i>
      <x/>
    </i>
    <i>
      <x v="1"/>
    </i>
    <i t="grand">
      <x/>
    </i>
  </rowItems>
  <colFields count="2">
    <field x="5"/>
    <field x="3"/>
  </colFields>
  <colItems count="10">
    <i>
      <x/>
      <x/>
    </i>
    <i t="default">
      <x/>
    </i>
    <i>
      <x v="1"/>
      <x/>
    </i>
    <i r="1">
      <x v="2"/>
    </i>
    <i t="default">
      <x v="1"/>
    </i>
    <i>
      <x v="2"/>
      <x/>
    </i>
    <i r="1">
      <x v="1"/>
    </i>
    <i r="1">
      <x v="2"/>
    </i>
    <i t="default">
      <x v="2"/>
    </i>
    <i t="grand">
      <x/>
    </i>
  </colItems>
  <dataFields count="1">
    <dataField name="Sum of Est water consumption, 2014, m^3"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2500-000001000000}" name="PivotTable2"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P27:Z32" firstHeaderRow="1" firstDataRow="3" firstDataCol="1"/>
  <pivotFields count="9">
    <pivotField showAll="0"/>
    <pivotField numFmtId="3" showAll="0"/>
    <pivotField showAll="0"/>
    <pivotField axis="axisCol" showAll="0">
      <items count="4">
        <item x="1"/>
        <item x="2"/>
        <item x="0"/>
        <item t="default"/>
      </items>
    </pivotField>
    <pivotField showAll="0">
      <items count="4">
        <item x="1"/>
        <item x="0"/>
        <item x="2"/>
        <item t="default"/>
      </items>
    </pivotField>
    <pivotField axis="axisCol" showAll="0">
      <items count="4">
        <item x="1"/>
        <item x="2"/>
        <item x="0"/>
        <item t="default"/>
      </items>
    </pivotField>
    <pivotField dataField="1" numFmtId="1" showAll="0">
      <items count="69">
        <item x="35"/>
        <item x="31"/>
        <item x="48"/>
        <item x="28"/>
        <item x="27"/>
        <item x="26"/>
        <item x="49"/>
        <item x="47"/>
        <item x="12"/>
        <item x="33"/>
        <item x="37"/>
        <item x="13"/>
        <item x="3"/>
        <item x="22"/>
        <item x="38"/>
        <item x="6"/>
        <item x="61"/>
        <item x="58"/>
        <item x="30"/>
        <item x="44"/>
        <item x="10"/>
        <item x="11"/>
        <item x="56"/>
        <item x="23"/>
        <item x="64"/>
        <item x="29"/>
        <item x="36"/>
        <item x="65"/>
        <item x="66"/>
        <item x="63"/>
        <item x="8"/>
        <item x="34"/>
        <item x="7"/>
        <item x="42"/>
        <item x="25"/>
        <item x="1"/>
        <item x="45"/>
        <item x="46"/>
        <item x="15"/>
        <item x="2"/>
        <item x="17"/>
        <item x="59"/>
        <item x="21"/>
        <item x="16"/>
        <item x="14"/>
        <item x="5"/>
        <item x="62"/>
        <item x="20"/>
        <item x="4"/>
        <item x="19"/>
        <item x="32"/>
        <item x="24"/>
        <item x="67"/>
        <item x="18"/>
        <item x="52"/>
        <item x="9"/>
        <item x="53"/>
        <item x="51"/>
        <item x="43"/>
        <item x="0"/>
        <item x="40"/>
        <item x="41"/>
        <item x="50"/>
        <item x="57"/>
        <item x="60"/>
        <item x="54"/>
        <item x="39"/>
        <item x="55"/>
        <item t="default"/>
      </items>
    </pivotField>
    <pivotField numFmtId="1" showAll="0"/>
    <pivotField axis="axisRow" showAll="0">
      <items count="3">
        <item x="0"/>
        <item x="1"/>
        <item t="default"/>
      </items>
    </pivotField>
  </pivotFields>
  <rowFields count="1">
    <field x="8"/>
  </rowFields>
  <rowItems count="3">
    <i>
      <x/>
    </i>
    <i>
      <x v="1"/>
    </i>
    <i t="grand">
      <x/>
    </i>
  </rowItems>
  <colFields count="2">
    <field x="5"/>
    <field x="3"/>
  </colFields>
  <colItems count="10">
    <i>
      <x/>
      <x/>
    </i>
    <i t="default">
      <x/>
    </i>
    <i>
      <x v="1"/>
      <x/>
    </i>
    <i r="1">
      <x v="2"/>
    </i>
    <i t="default">
      <x v="1"/>
    </i>
    <i>
      <x v="2"/>
      <x/>
    </i>
    <i r="1">
      <x v="1"/>
    </i>
    <i r="1">
      <x v="2"/>
    </i>
    <i t="default">
      <x v="2"/>
    </i>
    <i t="grand">
      <x/>
    </i>
  </colItems>
  <dataFields count="1">
    <dataField name="Sum of Est water consumption, 2014, m^3"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hyperlink" Target="http://www.eia.gov/totalenergy/data/browser/?tbl=TA4" TargetMode="External"/><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R25"/>
  <sheetViews>
    <sheetView tabSelected="1" zoomScale="150" zoomScaleNormal="150" zoomScalePageLayoutView="150" workbookViewId="0"/>
  </sheetViews>
  <sheetFormatPr baseColWidth="10" defaultRowHeight="13"/>
  <cols>
    <col min="1" max="1" width="2.6640625" style="12" customWidth="1"/>
    <col min="2" max="2" width="10.83203125" style="12"/>
    <col min="3" max="3" width="10.83203125" style="12" customWidth="1"/>
    <col min="4" max="4" width="25.83203125" style="12" customWidth="1"/>
    <col min="5" max="5" width="10.83203125" style="12" customWidth="1"/>
    <col min="6" max="17" width="10.83203125" style="12"/>
    <col min="18" max="18" width="2.83203125" style="12" customWidth="1"/>
    <col min="19" max="16384" width="10.83203125" style="12"/>
  </cols>
  <sheetData>
    <row r="1" spans="1:18" ht="17" customHeight="1">
      <c r="A1" s="77"/>
      <c r="B1" s="77"/>
      <c r="C1" s="77"/>
      <c r="D1" s="77"/>
      <c r="E1" s="77"/>
      <c r="F1" s="77"/>
      <c r="G1" s="77"/>
      <c r="H1" s="77"/>
      <c r="I1" s="77"/>
      <c r="J1" s="77"/>
      <c r="K1" s="77"/>
      <c r="L1" s="77"/>
      <c r="M1" s="77"/>
      <c r="N1" s="77"/>
      <c r="O1" s="77"/>
      <c r="P1" s="77"/>
      <c r="Q1" s="77"/>
      <c r="R1" s="77"/>
    </row>
    <row r="2" spans="1:18" ht="30" customHeight="1">
      <c r="A2" s="77"/>
      <c r="B2" s="733" t="s">
        <v>964</v>
      </c>
      <c r="C2" s="733"/>
      <c r="D2" s="733"/>
      <c r="E2" s="734"/>
      <c r="F2" s="734"/>
      <c r="G2" s="734"/>
      <c r="H2" s="734"/>
      <c r="I2" s="734"/>
      <c r="J2" s="734"/>
      <c r="K2" s="734"/>
      <c r="L2" s="734"/>
      <c r="M2" s="734"/>
      <c r="N2" s="734"/>
      <c r="O2" s="734"/>
      <c r="P2" s="734"/>
      <c r="Q2" s="734"/>
      <c r="R2" s="77"/>
    </row>
    <row r="3" spans="1:18">
      <c r="A3" s="77"/>
      <c r="C3" s="77"/>
      <c r="D3" s="77"/>
      <c r="E3" s="77"/>
      <c r="F3" s="77"/>
      <c r="G3" s="77"/>
      <c r="H3" s="77"/>
      <c r="I3" s="77"/>
      <c r="J3" s="77"/>
      <c r="K3" s="77"/>
      <c r="L3" s="77"/>
      <c r="M3" s="77"/>
      <c r="N3" s="77"/>
      <c r="O3" s="77"/>
      <c r="P3" s="77"/>
      <c r="Q3" s="77"/>
      <c r="R3" s="77"/>
    </row>
    <row r="4" spans="1:18">
      <c r="A4" s="77"/>
      <c r="B4" s="77"/>
      <c r="C4" s="77"/>
      <c r="D4" s="77"/>
      <c r="F4" s="77"/>
      <c r="G4" s="77"/>
      <c r="H4" s="77"/>
      <c r="I4" s="77"/>
      <c r="J4" s="77"/>
      <c r="K4" s="77"/>
      <c r="L4" s="77"/>
      <c r="M4" s="77"/>
      <c r="N4" s="77"/>
      <c r="O4" s="77"/>
      <c r="P4" s="77"/>
      <c r="Q4" s="77"/>
      <c r="R4" s="77"/>
    </row>
    <row r="5" spans="1:18">
      <c r="A5" s="77"/>
      <c r="B5" s="77" t="s">
        <v>963</v>
      </c>
      <c r="C5" s="77"/>
      <c r="D5" s="77"/>
      <c r="E5" s="77"/>
      <c r="F5" s="77"/>
      <c r="G5" s="77"/>
      <c r="H5" s="77"/>
      <c r="I5" s="77"/>
      <c r="J5" s="77"/>
      <c r="K5" s="77"/>
      <c r="L5" s="77"/>
      <c r="M5" s="77"/>
      <c r="N5" s="77"/>
      <c r="O5" s="77"/>
      <c r="P5" s="77"/>
      <c r="Q5" s="77"/>
      <c r="R5" s="77"/>
    </row>
    <row r="6" spans="1:18">
      <c r="A6" s="77"/>
      <c r="B6" s="77" t="s">
        <v>965</v>
      </c>
      <c r="C6" s="77"/>
      <c r="D6" s="77"/>
      <c r="E6" s="77"/>
      <c r="F6" s="77"/>
      <c r="G6" s="77"/>
      <c r="H6" s="77"/>
      <c r="I6" s="77"/>
      <c r="J6" s="77"/>
      <c r="K6" s="77"/>
      <c r="L6" s="77"/>
      <c r="M6" s="77"/>
      <c r="N6" s="77"/>
      <c r="O6" s="77"/>
      <c r="P6" s="77"/>
      <c r="Q6" s="77"/>
      <c r="R6" s="77"/>
    </row>
    <row r="7" spans="1:18">
      <c r="A7" s="77"/>
      <c r="B7" s="77"/>
      <c r="C7" s="77"/>
      <c r="D7" s="77"/>
      <c r="E7" s="77"/>
      <c r="F7" s="77"/>
      <c r="G7" s="77"/>
      <c r="H7" s="77"/>
      <c r="I7" s="77"/>
      <c r="J7" s="77"/>
      <c r="K7" s="77"/>
      <c r="L7" s="77"/>
      <c r="M7" s="77"/>
      <c r="N7" s="77"/>
      <c r="O7" s="77"/>
      <c r="P7" s="77"/>
      <c r="Q7" s="77"/>
      <c r="R7" s="77"/>
    </row>
    <row r="8" spans="1:18">
      <c r="A8" s="77"/>
      <c r="B8" s="77" t="s">
        <v>940</v>
      </c>
      <c r="C8" s="77"/>
      <c r="D8" s="77" t="s">
        <v>941</v>
      </c>
      <c r="E8" s="77"/>
      <c r="F8" s="77"/>
      <c r="G8" s="77"/>
      <c r="H8" s="77"/>
      <c r="I8" s="77"/>
      <c r="J8" s="77"/>
      <c r="K8" s="77"/>
      <c r="L8" s="77"/>
      <c r="M8" s="77"/>
      <c r="N8" s="77"/>
      <c r="O8" s="77"/>
      <c r="P8" s="77"/>
      <c r="Q8" s="77"/>
      <c r="R8" s="77"/>
    </row>
    <row r="9" spans="1:18">
      <c r="A9" s="77"/>
      <c r="B9" s="77"/>
      <c r="C9" s="77"/>
      <c r="D9" s="77" t="s">
        <v>942</v>
      </c>
      <c r="E9" s="77"/>
      <c r="F9" s="77"/>
      <c r="G9" s="77"/>
      <c r="H9" s="77"/>
      <c r="I9" s="77"/>
      <c r="J9" s="77"/>
      <c r="K9" s="77"/>
      <c r="L9" s="77"/>
      <c r="M9" s="77"/>
      <c r="N9" s="77"/>
      <c r="O9" s="77"/>
      <c r="P9" s="77"/>
      <c r="Q9" s="77"/>
      <c r="R9" s="77"/>
    </row>
    <row r="10" spans="1:18">
      <c r="A10" s="77"/>
      <c r="B10" s="77"/>
      <c r="C10" s="77"/>
      <c r="D10" s="77"/>
      <c r="E10" s="77"/>
      <c r="F10" s="77"/>
      <c r="G10" s="77"/>
      <c r="H10" s="77"/>
      <c r="I10" s="77"/>
      <c r="J10" s="77"/>
      <c r="K10" s="77"/>
      <c r="L10" s="77"/>
      <c r="M10" s="77"/>
      <c r="N10" s="77"/>
      <c r="O10" s="77"/>
      <c r="P10" s="77"/>
      <c r="Q10" s="77"/>
      <c r="R10" s="77"/>
    </row>
    <row r="11" spans="1:18">
      <c r="A11" s="77"/>
      <c r="B11" s="77" t="s">
        <v>943</v>
      </c>
      <c r="C11" s="77"/>
      <c r="D11" s="735" t="s">
        <v>966</v>
      </c>
      <c r="E11" s="77"/>
      <c r="F11" s="77"/>
      <c r="G11" s="77"/>
      <c r="H11" s="77"/>
      <c r="I11" s="77"/>
      <c r="J11" s="77"/>
      <c r="K11" s="77"/>
      <c r="L11" s="77"/>
      <c r="M11" s="77"/>
      <c r="N11" s="77"/>
      <c r="O11" s="77"/>
      <c r="P11" s="77"/>
      <c r="Q11" s="77"/>
      <c r="R11" s="77"/>
    </row>
    <row r="12" spans="1:18">
      <c r="A12" s="77"/>
      <c r="B12" s="77"/>
      <c r="C12" s="77"/>
      <c r="D12" s="77"/>
      <c r="E12" s="77"/>
      <c r="F12" s="77"/>
      <c r="G12" s="77"/>
      <c r="H12" s="77"/>
      <c r="I12" s="77"/>
      <c r="J12" s="77"/>
      <c r="K12" s="77"/>
      <c r="L12" s="77"/>
      <c r="M12" s="77"/>
      <c r="N12" s="77"/>
      <c r="O12" s="77"/>
      <c r="P12" s="77"/>
      <c r="Q12" s="77"/>
      <c r="R12" s="77"/>
    </row>
    <row r="13" spans="1:18">
      <c r="A13" s="77"/>
      <c r="B13" s="77" t="s">
        <v>944</v>
      </c>
      <c r="C13" s="77"/>
      <c r="D13" s="214" t="s">
        <v>961</v>
      </c>
      <c r="E13" s="77" t="s">
        <v>947</v>
      </c>
      <c r="F13" s="77"/>
      <c r="G13" s="77"/>
      <c r="H13" s="77"/>
      <c r="I13" s="77"/>
      <c r="J13" s="77"/>
      <c r="K13" s="77"/>
      <c r="L13" s="77"/>
      <c r="M13" s="77"/>
      <c r="N13" s="77"/>
      <c r="O13" s="77"/>
      <c r="P13" s="77"/>
      <c r="Q13" s="77"/>
      <c r="R13" s="77"/>
    </row>
    <row r="14" spans="1:18">
      <c r="A14" s="77"/>
      <c r="B14" s="77"/>
      <c r="C14" s="77"/>
      <c r="D14" s="215" t="s">
        <v>960</v>
      </c>
      <c r="E14" s="77" t="s">
        <v>962</v>
      </c>
      <c r="F14" s="77"/>
      <c r="G14" s="77"/>
      <c r="H14" s="77"/>
      <c r="I14" s="77"/>
      <c r="J14" s="77"/>
      <c r="K14" s="77"/>
      <c r="L14" s="77"/>
      <c r="M14" s="77"/>
      <c r="N14" s="77"/>
      <c r="O14" s="77"/>
      <c r="P14" s="77"/>
      <c r="Q14" s="77"/>
      <c r="R14" s="77"/>
    </row>
    <row r="15" spans="1:18">
      <c r="A15" s="77"/>
      <c r="B15" s="77"/>
      <c r="C15" s="77"/>
      <c r="D15" s="215" t="s">
        <v>938</v>
      </c>
      <c r="E15" s="77" t="s">
        <v>948</v>
      </c>
      <c r="F15" s="77"/>
      <c r="G15" s="77"/>
      <c r="H15" s="77"/>
      <c r="I15" s="77"/>
      <c r="J15" s="77"/>
      <c r="K15" s="77"/>
      <c r="L15" s="77"/>
      <c r="M15" s="77"/>
      <c r="N15" s="77"/>
      <c r="O15" s="77"/>
      <c r="P15" s="77"/>
      <c r="Q15" s="77"/>
      <c r="R15" s="77"/>
    </row>
    <row r="16" spans="1:18">
      <c r="A16" s="77"/>
      <c r="B16" s="77"/>
      <c r="C16" s="77"/>
      <c r="D16" s="214" t="s">
        <v>945</v>
      </c>
      <c r="E16" s="77" t="s">
        <v>949</v>
      </c>
      <c r="F16" s="77"/>
      <c r="G16" s="77"/>
      <c r="H16" s="77"/>
      <c r="I16" s="77"/>
      <c r="J16" s="77"/>
      <c r="K16" s="77"/>
      <c r="L16" s="77"/>
      <c r="M16" s="77"/>
      <c r="N16" s="77"/>
      <c r="O16" s="77"/>
      <c r="P16" s="77"/>
      <c r="Q16" s="77"/>
      <c r="R16" s="77"/>
    </row>
    <row r="17" spans="1:18">
      <c r="A17" s="77"/>
      <c r="B17" s="77"/>
      <c r="C17" s="77"/>
      <c r="D17" s="215" t="s">
        <v>414</v>
      </c>
      <c r="E17" s="77" t="s">
        <v>950</v>
      </c>
      <c r="F17" s="77"/>
      <c r="G17" s="77"/>
      <c r="H17" s="77"/>
      <c r="I17" s="77"/>
      <c r="J17" s="77"/>
      <c r="K17" s="77"/>
      <c r="L17" s="77"/>
      <c r="M17" s="77"/>
      <c r="N17" s="77"/>
      <c r="O17" s="77"/>
      <c r="P17" s="77"/>
      <c r="Q17" s="77"/>
      <c r="R17" s="77"/>
    </row>
    <row r="18" spans="1:18">
      <c r="A18" s="77"/>
      <c r="B18" s="77"/>
      <c r="C18" s="77"/>
      <c r="D18" s="215" t="s">
        <v>946</v>
      </c>
      <c r="E18" s="77" t="s">
        <v>951</v>
      </c>
      <c r="F18" s="77"/>
      <c r="G18" s="77"/>
      <c r="H18" s="77"/>
      <c r="I18" s="77"/>
      <c r="J18" s="77"/>
      <c r="K18" s="77"/>
      <c r="L18" s="77"/>
      <c r="M18" s="77"/>
      <c r="N18" s="77"/>
      <c r="O18" s="77"/>
      <c r="P18" s="77"/>
      <c r="Q18" s="77"/>
      <c r="R18" s="77"/>
    </row>
    <row r="19" spans="1:18">
      <c r="A19" s="77"/>
      <c r="B19" s="213"/>
      <c r="C19" s="213"/>
      <c r="D19" s="213"/>
      <c r="E19" s="77"/>
      <c r="F19" s="77"/>
      <c r="G19" s="77"/>
      <c r="H19" s="77"/>
      <c r="I19" s="77"/>
      <c r="J19" s="77"/>
      <c r="K19" s="77"/>
      <c r="L19" s="77"/>
      <c r="M19" s="77"/>
      <c r="N19" s="77"/>
      <c r="O19" s="77"/>
      <c r="P19" s="77"/>
      <c r="Q19" s="77"/>
      <c r="R19" s="77"/>
    </row>
    <row r="20" spans="1:18">
      <c r="A20" s="77"/>
      <c r="B20" s="213" t="s">
        <v>937</v>
      </c>
      <c r="C20" s="77"/>
      <c r="D20" s="213" t="s">
        <v>956</v>
      </c>
      <c r="E20" s="77"/>
      <c r="F20" s="77"/>
      <c r="G20" s="77"/>
      <c r="H20" s="77"/>
      <c r="I20" s="77"/>
      <c r="J20" s="77"/>
      <c r="K20" s="77"/>
      <c r="L20" s="77"/>
      <c r="M20" s="77"/>
      <c r="N20" s="77"/>
      <c r="O20" s="77"/>
      <c r="P20" s="77"/>
      <c r="Q20" s="77"/>
      <c r="R20" s="77"/>
    </row>
    <row r="21" spans="1:18">
      <c r="A21" s="77"/>
      <c r="B21" s="213"/>
      <c r="C21" s="77"/>
      <c r="D21" s="215" t="s">
        <v>939</v>
      </c>
      <c r="E21" s="77"/>
      <c r="F21" s="77"/>
      <c r="G21" s="77"/>
      <c r="H21" s="77"/>
      <c r="I21" s="77"/>
      <c r="J21" s="77"/>
      <c r="K21" s="77"/>
      <c r="L21" s="77"/>
      <c r="M21" s="77"/>
      <c r="N21" s="77"/>
      <c r="O21" s="77"/>
      <c r="P21" s="77"/>
      <c r="Q21" s="77"/>
      <c r="R21" s="77"/>
    </row>
    <row r="22" spans="1:18">
      <c r="A22" s="77"/>
      <c r="B22" s="213"/>
      <c r="C22" s="77"/>
      <c r="D22" s="732" t="s">
        <v>961</v>
      </c>
      <c r="E22" s="77"/>
      <c r="F22" s="77"/>
      <c r="G22" s="77"/>
      <c r="H22" s="77"/>
      <c r="I22" s="77"/>
      <c r="J22" s="77"/>
      <c r="K22" s="77"/>
      <c r="L22" s="77"/>
      <c r="M22" s="77"/>
      <c r="N22" s="77"/>
      <c r="O22" s="77"/>
      <c r="P22" s="77"/>
      <c r="Q22" s="77"/>
      <c r="R22" s="77"/>
    </row>
    <row r="23" spans="1:18">
      <c r="A23" s="77"/>
      <c r="B23" s="213"/>
      <c r="C23" s="77"/>
      <c r="D23" s="217" t="s">
        <v>938</v>
      </c>
      <c r="E23" s="77"/>
      <c r="F23" s="77"/>
      <c r="G23" s="77"/>
      <c r="H23" s="77"/>
      <c r="I23" s="77"/>
      <c r="J23" s="77"/>
      <c r="K23" s="77"/>
      <c r="L23" s="77"/>
      <c r="M23" s="77"/>
      <c r="N23" s="77"/>
      <c r="O23" s="77"/>
      <c r="P23" s="77"/>
      <c r="Q23" s="77"/>
      <c r="R23" s="77"/>
    </row>
    <row r="24" spans="1:18">
      <c r="A24" s="77"/>
      <c r="B24" s="213"/>
      <c r="C24" s="77"/>
      <c r="D24" s="217" t="s">
        <v>414</v>
      </c>
      <c r="E24" s="77"/>
      <c r="F24" s="77"/>
      <c r="G24" s="77"/>
      <c r="H24" s="77"/>
      <c r="I24" s="77"/>
      <c r="J24" s="77"/>
      <c r="K24" s="77"/>
      <c r="L24" s="77"/>
      <c r="M24" s="77"/>
      <c r="N24" s="77"/>
      <c r="O24" s="77"/>
      <c r="P24" s="77"/>
      <c r="Q24" s="77"/>
      <c r="R24" s="77"/>
    </row>
    <row r="25" spans="1:18" ht="17" customHeight="1">
      <c r="A25" s="77"/>
      <c r="B25" s="77"/>
      <c r="C25" s="77"/>
      <c r="D25" s="77"/>
      <c r="E25" s="77"/>
      <c r="F25" s="77"/>
      <c r="G25" s="77"/>
      <c r="H25" s="77"/>
      <c r="I25" s="77"/>
      <c r="J25" s="77"/>
      <c r="K25" s="77"/>
      <c r="L25" s="77"/>
      <c r="M25" s="77"/>
      <c r="N25" s="77"/>
      <c r="O25" s="77"/>
      <c r="P25" s="77"/>
      <c r="Q25" s="77"/>
      <c r="R25" s="77"/>
    </row>
  </sheetData>
  <phoneticPr fontId="55" type="noConversion"/>
  <hyperlinks>
    <hyperlink ref="D21" location="'Internal consistency check'!A1" display="'Internal consistency check'!A1" xr:uid="{00000000-0004-0000-0000-000000000000}"/>
    <hyperlink ref="D22" location="'Volume Summary'!A1" display="Summary" xr:uid="{00000000-0004-0000-0000-000001000000}"/>
    <hyperlink ref="D23" location="'Absolute Volume'!A1" display="'Absolute Volume'!A1" xr:uid="{00000000-0004-0000-0000-000002000000}"/>
    <hyperlink ref="D24" location="'Resource-specific data-&gt;'!A1" display="'Resource-specific data-&gt;'!A1" xr:uid="{00000000-0004-0000-0000-000003000000}"/>
    <hyperlink ref="D13" location="'Volume Summary'!A1" display="Summary" xr:uid="{00000000-0004-0000-0000-000004000000}"/>
    <hyperlink ref="D15" location="'Absolute Volume'!A1" display="'Absolute Volume'!A1" xr:uid="{00000000-0004-0000-0000-000005000000}"/>
    <hyperlink ref="D16" location="Intensity!A1" display="Intensity!A1" xr:uid="{00000000-0004-0000-0000-000006000000}"/>
    <hyperlink ref="D17" location="'Resource-specific data-&gt;'!A1" display="'Resource-specific data-&gt;'!A1" xr:uid="{00000000-0004-0000-0000-000007000000}"/>
    <hyperlink ref="D18" location="'Calculations and assumptions-&gt;'!A1" display="'Calculations and assumptions-&gt;'!A1" xr:uid="{00000000-0004-0000-0000-000008000000}"/>
    <hyperlink ref="D14" location="'Intensity Summary'!A1" display="'Intensity Summary'!A1" xr:uid="{00000000-0004-0000-0000-000009000000}"/>
  </hyperlinks>
  <pageMargins left="0.75" right="0.75" top="1" bottom="1" header="0.5" footer="0.5"/>
  <pageSetup paperSize="3" scale="95" orientation="landscape" horizontalDpi="0" verticalDpi="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2" width="11.6640625" style="16" hidden="1" customWidth="1"/>
    <col min="33" max="16384" width="10.83203125" style="16"/>
  </cols>
  <sheetData>
    <row r="1" spans="1:32" ht="30">
      <c r="A1" s="368" t="s">
        <v>758</v>
      </c>
      <c r="B1" s="369"/>
      <c r="C1" s="494"/>
      <c r="D1" s="494"/>
      <c r="E1" s="370"/>
      <c r="F1" s="369"/>
      <c r="G1" s="369"/>
      <c r="H1" s="369"/>
      <c r="I1" s="369"/>
      <c r="J1" s="408"/>
      <c r="K1" s="369"/>
      <c r="L1" s="369"/>
      <c r="M1" s="369"/>
      <c r="N1" s="408"/>
      <c r="O1" s="369"/>
      <c r="P1" s="369"/>
      <c r="Q1" s="494"/>
      <c r="R1" s="494"/>
      <c r="S1" s="369"/>
      <c r="T1" s="369"/>
      <c r="U1" s="369"/>
      <c r="V1" s="408"/>
      <c r="W1" s="369"/>
      <c r="X1" s="369"/>
      <c r="Y1" s="369"/>
      <c r="Z1" s="408"/>
      <c r="AA1" s="369"/>
      <c r="AB1" s="369"/>
    </row>
    <row r="2" spans="1:32" ht="30">
      <c r="A2" s="368" t="s">
        <v>875</v>
      </c>
      <c r="B2" s="369"/>
      <c r="C2" s="369"/>
      <c r="D2" s="369"/>
      <c r="E2" s="370"/>
      <c r="F2" s="369"/>
      <c r="G2" s="369"/>
      <c r="H2" s="369"/>
      <c r="I2" s="369"/>
      <c r="J2" s="408"/>
      <c r="K2" s="369"/>
      <c r="L2" s="369"/>
      <c r="M2" s="369"/>
      <c r="N2" s="408"/>
      <c r="O2" s="369"/>
      <c r="P2" s="369"/>
      <c r="Q2" s="369"/>
      <c r="R2" s="369"/>
      <c r="S2" s="369"/>
      <c r="T2" s="369"/>
      <c r="U2" s="369"/>
      <c r="V2" s="408"/>
      <c r="W2" s="369"/>
      <c r="X2" s="369"/>
      <c r="Y2" s="369"/>
      <c r="Z2" s="408"/>
      <c r="AA2" s="369"/>
      <c r="AB2" s="369"/>
    </row>
    <row r="3" spans="1:32" ht="30">
      <c r="A3" s="368"/>
      <c r="B3" s="369"/>
      <c r="C3" s="369"/>
      <c r="D3" s="369"/>
      <c r="E3" s="370"/>
      <c r="F3" s="369"/>
      <c r="G3" s="369"/>
      <c r="H3" s="369"/>
      <c r="I3" s="369"/>
      <c r="J3" s="408"/>
      <c r="K3" s="369"/>
      <c r="L3" s="369"/>
      <c r="M3" s="369"/>
      <c r="N3" s="408"/>
      <c r="O3" s="369"/>
      <c r="P3" s="369"/>
      <c r="Q3" s="369"/>
      <c r="R3" s="369"/>
      <c r="S3" s="369"/>
      <c r="T3" s="369"/>
      <c r="U3" s="369"/>
      <c r="V3" s="408"/>
      <c r="W3" s="369"/>
      <c r="X3" s="369"/>
      <c r="Y3" s="369"/>
      <c r="Z3" s="408"/>
      <c r="AA3" s="369"/>
      <c r="AB3" s="369"/>
    </row>
    <row r="4" spans="1:32" ht="30">
      <c r="A4" s="368"/>
      <c r="B4" s="369"/>
      <c r="C4" s="369"/>
      <c r="D4" s="369"/>
      <c r="E4" s="370"/>
      <c r="F4" s="369"/>
      <c r="G4" s="369"/>
      <c r="H4" s="369"/>
      <c r="I4" s="369"/>
      <c r="J4" s="408"/>
      <c r="K4" s="369"/>
      <c r="L4" s="369"/>
      <c r="M4" s="369"/>
      <c r="N4" s="408"/>
      <c r="O4" s="369"/>
      <c r="P4" s="369"/>
      <c r="Q4" s="369"/>
      <c r="R4" s="369"/>
      <c r="S4" s="369"/>
      <c r="T4" s="369"/>
      <c r="U4" s="369"/>
      <c r="V4" s="408"/>
      <c r="W4" s="369"/>
      <c r="X4" s="369"/>
      <c r="Y4" s="369"/>
      <c r="Z4" s="408"/>
      <c r="AA4" s="369"/>
      <c r="AB4" s="369"/>
    </row>
    <row r="5" spans="1:32" ht="30">
      <c r="A5" s="368"/>
      <c r="B5" s="369"/>
      <c r="C5" s="369"/>
      <c r="D5" s="369"/>
      <c r="E5" s="370"/>
      <c r="F5" s="369"/>
      <c r="G5" s="369"/>
      <c r="H5" s="369"/>
      <c r="I5" s="369"/>
      <c r="J5" s="408"/>
      <c r="K5" s="369"/>
      <c r="L5" s="369"/>
      <c r="M5" s="369"/>
      <c r="N5" s="408"/>
      <c r="O5" s="369"/>
      <c r="P5" s="369"/>
      <c r="Q5" s="369"/>
      <c r="R5" s="369"/>
      <c r="S5" s="369"/>
      <c r="T5" s="369"/>
      <c r="U5" s="369"/>
      <c r="V5" s="408"/>
      <c r="W5" s="369"/>
      <c r="X5" s="369"/>
      <c r="Y5" s="369"/>
      <c r="Z5" s="408"/>
      <c r="AA5" s="369"/>
      <c r="AB5" s="369"/>
    </row>
    <row r="6" spans="1:32" ht="30">
      <c r="A6" s="368"/>
      <c r="B6" s="369"/>
      <c r="C6" s="369"/>
      <c r="D6" s="369"/>
      <c r="E6" s="370"/>
      <c r="F6" s="369"/>
      <c r="G6" s="369"/>
      <c r="H6" s="369"/>
      <c r="I6" s="369"/>
      <c r="J6" s="408"/>
      <c r="K6" s="369"/>
      <c r="L6" s="369"/>
      <c r="M6" s="369"/>
      <c r="N6" s="408"/>
      <c r="O6" s="369"/>
      <c r="P6" s="369"/>
      <c r="Q6" s="369"/>
      <c r="R6" s="369"/>
      <c r="S6" s="369"/>
      <c r="T6" s="369"/>
      <c r="U6" s="369"/>
      <c r="V6" s="408"/>
      <c r="W6" s="369"/>
      <c r="X6" s="369"/>
      <c r="Y6" s="369"/>
      <c r="Z6" s="408"/>
      <c r="AA6" s="369"/>
      <c r="AB6" s="369"/>
    </row>
    <row r="7" spans="1:32" ht="30">
      <c r="A7" s="368"/>
      <c r="B7" s="369"/>
      <c r="C7" s="369"/>
      <c r="D7" s="369"/>
      <c r="E7" s="370"/>
      <c r="F7" s="369"/>
      <c r="G7" s="369"/>
      <c r="H7" s="369"/>
      <c r="I7" s="369"/>
      <c r="J7" s="408"/>
      <c r="K7" s="369"/>
      <c r="L7" s="369"/>
      <c r="M7" s="369"/>
      <c r="N7" s="408"/>
      <c r="O7" s="369"/>
      <c r="P7" s="369"/>
      <c r="Q7" s="369"/>
      <c r="R7" s="369"/>
      <c r="S7" s="369"/>
      <c r="T7" s="369"/>
      <c r="U7" s="369"/>
      <c r="V7" s="408"/>
      <c r="W7" s="369"/>
      <c r="X7" s="369"/>
      <c r="Y7" s="369"/>
      <c r="Z7" s="408"/>
      <c r="AA7" s="369"/>
      <c r="AB7" s="369"/>
    </row>
    <row r="8" spans="1:32" ht="30">
      <c r="A8" s="368"/>
      <c r="B8" s="369"/>
      <c r="C8" s="369"/>
      <c r="D8" s="369"/>
      <c r="E8" s="370"/>
      <c r="F8" s="369"/>
      <c r="G8" s="369"/>
      <c r="H8" s="369"/>
      <c r="I8" s="369"/>
      <c r="J8" s="408"/>
      <c r="K8" s="369"/>
      <c r="L8" s="369"/>
      <c r="M8" s="369"/>
      <c r="N8" s="408"/>
      <c r="O8" s="369"/>
      <c r="P8" s="369"/>
      <c r="Q8" s="369"/>
      <c r="R8" s="369"/>
      <c r="S8" s="369"/>
      <c r="T8" s="369"/>
      <c r="U8" s="369"/>
      <c r="V8" s="408"/>
      <c r="W8" s="369"/>
      <c r="X8" s="369"/>
      <c r="Y8" s="369"/>
      <c r="Z8" s="408"/>
      <c r="AA8" s="369"/>
      <c r="AB8" s="369"/>
    </row>
    <row r="9" spans="1:32" ht="31" thickBot="1">
      <c r="A9" s="368"/>
      <c r="B9" s="369"/>
      <c r="C9" s="369"/>
      <c r="D9" s="369"/>
      <c r="E9" s="370"/>
      <c r="F9" s="369"/>
      <c r="G9" s="369"/>
      <c r="H9" s="369"/>
      <c r="I9" s="369"/>
      <c r="J9" s="408"/>
      <c r="K9" s="369"/>
      <c r="L9" s="369"/>
      <c r="M9" s="369"/>
      <c r="N9" s="408"/>
      <c r="O9" s="369"/>
      <c r="P9" s="369"/>
      <c r="Q9" s="369"/>
      <c r="R9" s="369"/>
      <c r="S9" s="369"/>
      <c r="T9" s="369"/>
      <c r="U9" s="369"/>
      <c r="V9" s="408"/>
      <c r="W9" s="369"/>
      <c r="X9" s="369"/>
      <c r="Y9" s="369"/>
      <c r="Z9" s="408"/>
      <c r="AA9" s="369"/>
      <c r="AB9" s="369"/>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146487934.00282618</v>
      </c>
      <c r="AF11" s="18">
        <f>X13*O13</f>
        <v>865124772.18391466</v>
      </c>
    </row>
    <row r="12" spans="1:32" ht="15" customHeight="1" thickBot="1">
      <c r="A12" s="268"/>
      <c r="B12" s="268" t="s">
        <v>48</v>
      </c>
      <c r="C12" s="269">
        <f>SUM(C15:C30)</f>
        <v>28882943.371467054</v>
      </c>
      <c r="D12" s="269"/>
      <c r="E12" s="269">
        <f>SUM(E15:E30)</f>
        <v>3.1853785587509093E-3</v>
      </c>
      <c r="F12" s="270"/>
      <c r="G12" s="270"/>
      <c r="H12" s="270"/>
      <c r="I12" s="270"/>
      <c r="J12" s="270"/>
      <c r="K12" s="501"/>
      <c r="L12" s="270"/>
      <c r="M12" s="270"/>
      <c r="N12" s="270"/>
      <c r="O12" s="276">
        <f>SUM(O15:O30)</f>
        <v>767835128.49814534</v>
      </c>
      <c r="P12" s="268"/>
      <c r="Q12" s="269">
        <f>SUM(Q15:Q30)</f>
        <v>8.468131254898198E-2</v>
      </c>
      <c r="R12" s="270"/>
      <c r="S12" s="270"/>
      <c r="T12" s="270"/>
      <c r="U12" s="270"/>
      <c r="V12" s="270"/>
      <c r="W12" s="501"/>
      <c r="X12" s="270"/>
      <c r="Y12" s="270"/>
      <c r="Z12" s="270"/>
      <c r="AA12" s="235"/>
      <c r="AB12" s="236"/>
      <c r="AD12" s="16" t="s">
        <v>887</v>
      </c>
      <c r="AE12" s="18">
        <f>K13*C13</f>
        <v>168227231.59628847</v>
      </c>
      <c r="AF12" s="18">
        <f>W13*O13</f>
        <v>193416949.78462198</v>
      </c>
    </row>
    <row r="13" spans="1:32" ht="15" customHeight="1" thickTop="1" thickBot="1">
      <c r="A13" s="271"/>
      <c r="B13" s="271" t="s">
        <v>870</v>
      </c>
      <c r="C13" s="272">
        <f>SUM(C15:C27)</f>
        <v>320728847.90550143</v>
      </c>
      <c r="D13" s="272"/>
      <c r="E13" s="272">
        <f>SUM(E15:E27)</f>
        <v>3.5371838048207073E-2</v>
      </c>
      <c r="F13" s="282">
        <f>SUMPRODUCT(F15:F29,$C$15:$C$29)/SUM($C$15:$C$29)</f>
        <v>0.77761259345934153</v>
      </c>
      <c r="G13" s="282">
        <f>SUMPRODUCT(G15:G29,$C$15:$C$29)/SUM($C$15:$C$29)</f>
        <v>1.1614730228738991E-3</v>
      </c>
      <c r="H13" s="282">
        <f>SUMPRODUCT(H15:H29,$C$15:$C$29)/SUM($C$15:$C$29)</f>
        <v>1.1611564747912279E-2</v>
      </c>
      <c r="I13" s="282">
        <f>SUMPRODUCT(I15:I29,$C$15:$C$29)/SUM($C$15:$C$29)</f>
        <v>0.20961436876987211</v>
      </c>
      <c r="J13" s="430">
        <f>SUM(F13:I13)</f>
        <v>0.99999999999999978</v>
      </c>
      <c r="K13" s="393">
        <f>SUMPRODUCT(K15:K29,$C$15:$C$29)/SUM($C$15:$C$29)</f>
        <v>0.52451543630978414</v>
      </c>
      <c r="L13" s="282">
        <f>SUMPRODUCT(L15:L29,$C$15:$C$29)/SUM($C$15:$C$29)</f>
        <v>0.45673451253124242</v>
      </c>
      <c r="M13" s="282">
        <f>SUMPRODUCT(M15:M29,$C$15:$C$29)/SUM($C$15:$C$29)</f>
        <v>1.8750051158973199E-2</v>
      </c>
      <c r="N13" s="430">
        <f>SUM(K13:M13)</f>
        <v>0.99999999999999978</v>
      </c>
      <c r="O13" s="681">
        <f>SUM(O15:O27)</f>
        <v>1059681033.0321797</v>
      </c>
      <c r="P13" s="271"/>
      <c r="Q13" s="272">
        <f>SUM(Q15:Q27)</f>
        <v>0.11686777203843815</v>
      </c>
      <c r="R13" s="282">
        <f>SUMPRODUCT(R15:R29,$O$15:$O$29)/SUM($O$15:$O$29)</f>
        <v>0.63333560241868603</v>
      </c>
      <c r="S13" s="282">
        <f>SUMPRODUCT(S15:S29,$O$15:$O$29)/SUM($O$15:$O$29)</f>
        <v>3.3274778294702226E-2</v>
      </c>
      <c r="T13" s="282">
        <f>SUMPRODUCT(T15:T29,$O$15:$O$29)/SUM($O$15:$O$29)</f>
        <v>0.26994658982365216</v>
      </c>
      <c r="U13" s="282">
        <f>SUMPRODUCT(U15:U29,$O$15:$O$29)/SUM($O$15:$O$29)</f>
        <v>6.3443029462959558E-2</v>
      </c>
      <c r="V13" s="430">
        <f>SUM(R13:U13)</f>
        <v>1</v>
      </c>
      <c r="W13" s="393">
        <f>SUMPRODUCT(W15:W29,$O$15:$O$29)/SUM($O$15:$O$29)</f>
        <v>0.18252374417911132</v>
      </c>
      <c r="X13" s="282">
        <f>SUMPRODUCT(X15:X29,$O$15:$O$29)/SUM($O$15:$O$29)</f>
        <v>0.81640111053836617</v>
      </c>
      <c r="Y13" s="282">
        <f>SUMPRODUCT(Y15:Y29,$O$15:$O$29)/SUM($O$15:$O$29)</f>
        <v>1.0751452825224631E-3</v>
      </c>
      <c r="Z13" s="430">
        <f>SUM(W13:Y13)</f>
        <v>1</v>
      </c>
      <c r="AA13" s="702"/>
      <c r="AB13" s="703"/>
      <c r="AD13" s="16" t="s">
        <v>888</v>
      </c>
      <c r="AE13" s="18">
        <f>M13*C13</f>
        <v>6013682.3063866859</v>
      </c>
      <c r="AF13" s="18">
        <f>Y13*O13</f>
        <v>1139311.0636430783</v>
      </c>
    </row>
    <row r="14" spans="1:32" ht="15" customHeight="1" thickTop="1" thickBot="1">
      <c r="A14" s="224" t="s">
        <v>591</v>
      </c>
      <c r="B14" s="232"/>
      <c r="C14" s="232"/>
      <c r="D14" s="232"/>
      <c r="E14" s="232"/>
      <c r="F14" s="232"/>
      <c r="G14" s="232"/>
      <c r="H14" s="232"/>
      <c r="I14" s="232"/>
      <c r="J14" s="232"/>
      <c r="K14" s="301"/>
      <c r="L14" s="244"/>
      <c r="M14" s="232"/>
      <c r="N14" s="232"/>
      <c r="O14" s="682"/>
      <c r="P14" s="232"/>
      <c r="Q14" s="232"/>
      <c r="R14" s="232"/>
      <c r="S14" s="232"/>
      <c r="T14" s="232"/>
      <c r="U14" s="232"/>
      <c r="V14" s="232"/>
      <c r="W14" s="301"/>
      <c r="X14" s="244"/>
      <c r="Y14" s="232"/>
      <c r="Z14" s="232"/>
      <c r="AA14" s="704"/>
      <c r="AB14" s="705"/>
      <c r="AE14" s="18"/>
      <c r="AF14" s="18"/>
    </row>
    <row r="15" spans="1:32" ht="15" customHeight="1" thickTop="1" thickBot="1">
      <c r="A15" s="223"/>
      <c r="B15" s="232" t="s">
        <v>402</v>
      </c>
      <c r="C15" s="243">
        <f>'Intermediate o&amp;g entries'!E3*10^6</f>
        <v>9811282.3155758195</v>
      </c>
      <c r="D15" s="243">
        <f>C15/AA15</f>
        <v>1.0580211388211845E-3</v>
      </c>
      <c r="E15" s="243">
        <f>C15/AB15</f>
        <v>1.0820451336951075E-3</v>
      </c>
      <c r="F15" s="240">
        <f>'Intermediate o&amp;g entries'!$E7/'Intermediate o&amp;g entries'!$E$3</f>
        <v>0.9</v>
      </c>
      <c r="G15" s="240">
        <f>'Intermediate o&amp;g entries'!$E8/'Intermediate o&amp;g entries'!$E$3</f>
        <v>0</v>
      </c>
      <c r="H15" s="240">
        <f>'Intermediate o&amp;g entries'!$E9/'Intermediate o&amp;g entries'!$E$3</f>
        <v>0</v>
      </c>
      <c r="I15" s="240">
        <f>'Intermediate o&amp;g entries'!$E10/'Intermediate o&amp;g entries'!$E$3</f>
        <v>0.1</v>
      </c>
      <c r="J15" s="430">
        <f>SUM(F15:I15)</f>
        <v>1</v>
      </c>
      <c r="K15" s="299">
        <f>'Intermediate o&amp;g entries'!$E4/'Intermediate o&amp;g entries'!$E$3</f>
        <v>0.5129999999999999</v>
      </c>
      <c r="L15" s="300">
        <f>'Intermediate o&amp;g entries'!$E5/'Intermediate o&amp;g entries'!$E$3</f>
        <v>0.38700000000000001</v>
      </c>
      <c r="M15" s="240">
        <f>'Intermediate o&amp;g entries'!$E6/'Intermediate o&amp;g entries'!$E$3</f>
        <v>0.1</v>
      </c>
      <c r="N15" s="430">
        <f>SUM(K15:M15)</f>
        <v>0.99999999999999989</v>
      </c>
      <c r="O15" s="677">
        <f>C15-'Intermediate o&amp;g entries'!E6*10^6</f>
        <v>8830154.0840182379</v>
      </c>
      <c r="P15" s="243">
        <f>O15/AA15</f>
        <v>9.5221902493906614E-4</v>
      </c>
      <c r="Q15" s="243">
        <f>O15/AB15</f>
        <v>9.7384062032559668E-4</v>
      </c>
      <c r="R15" s="240">
        <f>'Intermediate o&amp;g entries'!$E7/('Intermediate o&amp;g entries'!$E$3-'Intermediate o&amp;g entries'!$E$6)</f>
        <v>1</v>
      </c>
      <c r="S15" s="240"/>
      <c r="T15" s="240"/>
      <c r="U15" s="240"/>
      <c r="V15" s="430">
        <f>SUM(R15:U15)</f>
        <v>1</v>
      </c>
      <c r="W15" s="299">
        <f>'Intermediate o&amp;g entries'!$E4/('Intermediate o&amp;g entries'!$E$3-'Intermediate o&amp;g entries'!$E$6)</f>
        <v>0.56999999999999984</v>
      </c>
      <c r="X15" s="300">
        <f>'Intermediate o&amp;g entries'!$E5/('Intermediate o&amp;g entries'!$E$3-'Intermediate o&amp;g entries'!$E$6)</f>
        <v>0.43</v>
      </c>
      <c r="Y15" s="240"/>
      <c r="Z15" s="430">
        <f>SUM(W15:Y15)</f>
        <v>0.99999999999999978</v>
      </c>
      <c r="AA15" s="706">
        <f>unconv_oil_frac*Oil!AA15</f>
        <v>9273238459.5900002</v>
      </c>
      <c r="AB15" s="707">
        <f>'Energy data by fuel cycle'!$G$6</f>
        <v>9067350344.3160324</v>
      </c>
      <c r="AD15" s="16" t="s">
        <v>267</v>
      </c>
      <c r="AE15" s="18">
        <f>F13*C13</f>
        <v>249402791.21702367</v>
      </c>
      <c r="AF15" s="18">
        <f>R13*O13</f>
        <v>671133725.42709112</v>
      </c>
    </row>
    <row r="16" spans="1:32" ht="15" customHeight="1" thickTop="1" thickBot="1">
      <c r="A16" s="232"/>
      <c r="B16" s="232" t="s">
        <v>403</v>
      </c>
      <c r="C16" s="243">
        <f>Oil!C16</f>
        <v>121846153.84615384</v>
      </c>
      <c r="D16" s="243">
        <f>C16/AA16</f>
        <v>1.3139547136323836E-2</v>
      </c>
      <c r="E16" s="243">
        <f>C16/AB16</f>
        <v>1.3437900733871437E-2</v>
      </c>
      <c r="F16" s="240">
        <f>'Intermediate o&amp;g entries'!$K$7/'Intermediate o&amp;g entries'!$K$3</f>
        <v>0.96</v>
      </c>
      <c r="G16" s="240"/>
      <c r="H16" s="240">
        <f>'Intermediate o&amp;g entries'!$K$9/'Intermediate o&amp;g entries'!$K$3</f>
        <v>1.7163036616161618E-2</v>
      </c>
      <c r="I16" s="240">
        <f>'Intermediate o&amp;g entries'!$K$10/'Intermediate o&amp;g entries'!$K$3</f>
        <v>2.2836963383838386E-2</v>
      </c>
      <c r="J16" s="430">
        <f>SUM(F16:I16)</f>
        <v>0.99999999999999989</v>
      </c>
      <c r="K16" s="299">
        <f>'Intermediate o&amp;g entries'!$K$4/'Intermediate o&amp;g entries'!$K$3</f>
        <v>0.54719999999999991</v>
      </c>
      <c r="L16" s="300">
        <f>'Intermediate o&amp;g entries'!$K$5/'Intermediate o&amp;g entries'!$K$3</f>
        <v>0.41279999999999994</v>
      </c>
      <c r="M16" s="240">
        <f>'Intermediate o&amp;g entries'!$K$6/'Intermediate o&amp;g entries'!$K$3</f>
        <v>0.04</v>
      </c>
      <c r="N16" s="430">
        <f>SUM(K16:M16)</f>
        <v>0.99999999999999989</v>
      </c>
      <c r="O16" s="677">
        <f>Oil!O16</f>
        <v>116972307.69230768</v>
      </c>
      <c r="P16" s="243">
        <f>O16/AA16</f>
        <v>1.2613965250870881E-2</v>
      </c>
      <c r="Q16" s="243">
        <f>O16/AB16</f>
        <v>1.290038470451658E-2</v>
      </c>
      <c r="R16" s="240">
        <f>'Intermediate o&amp;g entries'!$K$7/('Intermediate o&amp;g entries'!$K$3-'Intermediate o&amp;g entries'!$K$6)</f>
        <v>1</v>
      </c>
      <c r="S16" s="240"/>
      <c r="T16" s="240"/>
      <c r="U16" s="240"/>
      <c r="V16" s="430">
        <f>SUM(R16:U16)</f>
        <v>1</v>
      </c>
      <c r="W16" s="299">
        <f>'Intermediate o&amp;g entries'!$K$4/('Intermediate o&amp;g entries'!$K$3-'Intermediate o&amp;g entries'!$K$6)</f>
        <v>0.56999999999999984</v>
      </c>
      <c r="X16" s="300">
        <f>'Intermediate o&amp;g entries'!$K$5/('Intermediate o&amp;g entries'!$K$3-'Intermediate o&amp;g entries'!$K$6)</f>
        <v>0.43</v>
      </c>
      <c r="Y16" s="240"/>
      <c r="Z16" s="430">
        <f>SUM(W16:Y16)</f>
        <v>0.99999999999999978</v>
      </c>
      <c r="AA16" s="706">
        <f>Oil!AA16</f>
        <v>9273238459.5900002</v>
      </c>
      <c r="AB16" s="707">
        <f>'Energy data by fuel cycle'!$G$6</f>
        <v>9067350344.3160324</v>
      </c>
      <c r="AD16" s="16" t="s">
        <v>654</v>
      </c>
      <c r="AE16" s="18">
        <f>G13*C13</f>
        <v>372517.90449966578</v>
      </c>
      <c r="AF16" s="18">
        <f>S13*O13</f>
        <v>35260651.437246807</v>
      </c>
    </row>
    <row r="17" spans="1:32" ht="15" customHeight="1" thickTop="1" thickBot="1">
      <c r="A17" s="232"/>
      <c r="B17" s="232" t="s">
        <v>405</v>
      </c>
      <c r="C17" s="243">
        <f>'Intermediate o&amp;g entries'!$T$3*10^6-('Intermediate o&amp;g entries'!E6+'Intermediate o&amp;g entries'!K6)*10^6</f>
        <v>63465650.614596263</v>
      </c>
      <c r="D17" s="243">
        <f>C17/AA17</f>
        <v>6.8439575765424981E-3</v>
      </c>
      <c r="E17" s="243">
        <f>C17/AB17</f>
        <v>6.9993601443204849E-3</v>
      </c>
      <c r="F17" s="240"/>
      <c r="G17" s="240"/>
      <c r="H17" s="240">
        <f>('Intermediate o&amp;g entries'!$T$9-'Intermediate o&amp;g entries'!$K$9-'Intermediate o&amp;g entries'!$E$9)/('Intermediate o&amp;g entries'!$T$3-'Intermediate o&amp;g entries'!$K$6-'Intermediate o&amp;g entries'!$E$6)</f>
        <v>0</v>
      </c>
      <c r="I17" s="240">
        <f>('Intermediate o&amp;g entries'!$T$10-'Intermediate o&amp;g entries'!$K$10-'Intermediate o&amp;g entries'!$E$10)/('Intermediate o&amp;g entries'!$T$3-'Intermediate o&amp;g entries'!$K$6-'Intermediate o&amp;g entries'!$E$6)</f>
        <v>1</v>
      </c>
      <c r="J17" s="430">
        <f>SUM(F17:I17)</f>
        <v>1</v>
      </c>
      <c r="K17" s="299">
        <v>1</v>
      </c>
      <c r="L17" s="300"/>
      <c r="M17" s="240"/>
      <c r="N17" s="430">
        <f>SUM(K17:M17)</f>
        <v>1</v>
      </c>
      <c r="O17" s="677">
        <f>'Intermediate o&amp;g entries'!$T$3*10^6</f>
        <v>69320625</v>
      </c>
      <c r="P17" s="243">
        <f>O17/AA17</f>
        <v>7.4753415758775695E-3</v>
      </c>
      <c r="Q17" s="243">
        <f>O17/AB17</f>
        <v>7.6450806870448536E-3</v>
      </c>
      <c r="R17" s="240"/>
      <c r="S17" s="240"/>
      <c r="T17" s="240">
        <f>'Intermediate o&amp;g entries'!$T$9/'Intermediate o&amp;g entries'!$T$3</f>
        <v>3.0167789168086701E-2</v>
      </c>
      <c r="U17" s="240">
        <f>'Intermediate o&amp;g entries'!$T$10/'Intermediate o&amp;g entries'!$T$3</f>
        <v>0.96983221083191329</v>
      </c>
      <c r="V17" s="430">
        <f>SUM(R17:U17)</f>
        <v>1</v>
      </c>
      <c r="W17" s="299">
        <v>1</v>
      </c>
      <c r="X17" s="300"/>
      <c r="Y17" s="240"/>
      <c r="Z17" s="430">
        <f>SUM(W17:Y17)</f>
        <v>1</v>
      </c>
      <c r="AA17" s="706">
        <f>unconv_oil_frac*Oil!AA15</f>
        <v>9273238459.5900002</v>
      </c>
      <c r="AB17" s="707">
        <f>'Energy data by fuel cycle'!$G$6</f>
        <v>9067350344.3160324</v>
      </c>
      <c r="AD17" s="16" t="s">
        <v>889</v>
      </c>
      <c r="AE17" s="18">
        <f>H13*C13</f>
        <v>3724163.7839780394</v>
      </c>
      <c r="AF17" s="18">
        <f>T13*O13</f>
        <v>286057281.16784179</v>
      </c>
    </row>
    <row r="18" spans="1:32" ht="15" customHeight="1" thickTop="1">
      <c r="A18" s="232"/>
      <c r="B18" s="232"/>
      <c r="C18" s="284"/>
      <c r="D18" s="284"/>
      <c r="E18" s="284"/>
      <c r="F18" s="240"/>
      <c r="G18" s="240"/>
      <c r="H18" s="240"/>
      <c r="I18" s="240"/>
      <c r="J18" s="425"/>
      <c r="K18" s="299"/>
      <c r="L18" s="300"/>
      <c r="M18" s="240"/>
      <c r="N18" s="425"/>
      <c r="O18" s="679"/>
      <c r="P18" s="284"/>
      <c r="Q18" s="284"/>
      <c r="R18" s="240"/>
      <c r="S18" s="240"/>
      <c r="T18" s="240"/>
      <c r="U18" s="240"/>
      <c r="V18" s="425"/>
      <c r="W18" s="299"/>
      <c r="X18" s="300"/>
      <c r="Y18" s="240"/>
      <c r="Z18" s="425"/>
      <c r="AA18" s="706"/>
      <c r="AB18" s="707"/>
      <c r="AD18" s="16" t="s">
        <v>890</v>
      </c>
      <c r="AE18" s="18">
        <f>I13*C13</f>
        <v>67229375</v>
      </c>
      <c r="AF18" s="18">
        <f>U13*O13</f>
        <v>67229375</v>
      </c>
    </row>
    <row r="19" spans="1:32" ht="15" customHeight="1" thickBot="1">
      <c r="A19" s="226" t="s">
        <v>67</v>
      </c>
      <c r="B19" s="232"/>
      <c r="C19" s="284"/>
      <c r="D19" s="284"/>
      <c r="E19" s="284"/>
      <c r="F19" s="240"/>
      <c r="G19" s="240"/>
      <c r="H19" s="240"/>
      <c r="I19" s="240"/>
      <c r="J19" s="425"/>
      <c r="K19" s="299"/>
      <c r="L19" s="300"/>
      <c r="M19" s="240"/>
      <c r="N19" s="425"/>
      <c r="O19" s="679"/>
      <c r="P19" s="284"/>
      <c r="Q19" s="284"/>
      <c r="R19" s="240"/>
      <c r="S19" s="240"/>
      <c r="T19" s="240"/>
      <c r="U19" s="240"/>
      <c r="V19" s="425"/>
      <c r="W19" s="299"/>
      <c r="X19" s="300"/>
      <c r="Y19" s="240"/>
      <c r="Z19" s="425"/>
      <c r="AA19" s="706"/>
      <c r="AB19" s="707"/>
    </row>
    <row r="20" spans="1:32" ht="15" customHeight="1" thickTop="1" thickBot="1">
      <c r="A20" s="232"/>
      <c r="B20" s="232" t="s">
        <v>873</v>
      </c>
      <c r="C20" s="256">
        <v>0</v>
      </c>
      <c r="D20" s="284"/>
      <c r="E20" s="284"/>
      <c r="F20" s="232"/>
      <c r="G20" s="232"/>
      <c r="H20" s="232"/>
      <c r="I20" s="232"/>
      <c r="J20" s="431"/>
      <c r="K20" s="301"/>
      <c r="L20" s="244"/>
      <c r="M20" s="232"/>
      <c r="N20" s="431"/>
      <c r="O20" s="677">
        <f>$AA20/Oil!$AA21*Oil!O21</f>
        <v>1557426.1068571098</v>
      </c>
      <c r="P20" s="243">
        <f>O20/AA20</f>
        <v>2.7713047686022741E-4</v>
      </c>
      <c r="Q20" s="243">
        <f>O20/AB20</f>
        <v>1.7176198643668812E-4</v>
      </c>
      <c r="R20" s="240">
        <f>Oil!R21</f>
        <v>1</v>
      </c>
      <c r="S20" s="240">
        <f>Oil!S21</f>
        <v>0</v>
      </c>
      <c r="T20" s="240">
        <f>Oil!T21</f>
        <v>0</v>
      </c>
      <c r="U20" s="240">
        <f>Oil!U21</f>
        <v>0</v>
      </c>
      <c r="V20" s="430">
        <f t="shared" ref="V20:V30" si="0">SUM(R20:U20)</f>
        <v>1</v>
      </c>
      <c r="W20" s="299">
        <f>Oil!W21</f>
        <v>0.4</v>
      </c>
      <c r="X20" s="300">
        <f>Oil!X21</f>
        <v>0.6</v>
      </c>
      <c r="Y20" s="240">
        <f>Oil!Y21</f>
        <v>0</v>
      </c>
      <c r="Z20" s="430">
        <f>SUM(W20:Y20)</f>
        <v>1</v>
      </c>
      <c r="AA20" s="706">
        <f>'Energy data by fuel cycle'!$D$6</f>
        <v>5619829780.1890917</v>
      </c>
      <c r="AB20" s="707">
        <f>'Energy data by fuel cycle'!$G$6</f>
        <v>9067350344.3160324</v>
      </c>
      <c r="AD20" s="16" t="s">
        <v>614</v>
      </c>
      <c r="AE20" s="419">
        <f>SUM(C15:C17)</f>
        <v>195123086.77632594</v>
      </c>
      <c r="AF20" s="419">
        <f>SUM(O15:O17)</f>
        <v>195123086.77632591</v>
      </c>
    </row>
    <row r="21" spans="1:32" ht="15" customHeight="1" thickTop="1" thickBot="1">
      <c r="A21" s="232"/>
      <c r="B21" s="232" t="s">
        <v>406</v>
      </c>
      <c r="C21" s="243">
        <f>$AA21/Oil!$AA22*Oil!C22</f>
        <v>142256.76801116485</v>
      </c>
      <c r="D21" s="243">
        <v>1.2E-4</v>
      </c>
      <c r="E21" s="243">
        <f>C21/AB21</f>
        <v>1.5688901675707287E-5</v>
      </c>
      <c r="F21" s="240">
        <f>Oil!F22</f>
        <v>1</v>
      </c>
      <c r="G21" s="240">
        <f>Oil!G22</f>
        <v>0</v>
      </c>
      <c r="H21" s="240">
        <f>Oil!H22</f>
        <v>0</v>
      </c>
      <c r="I21" s="240">
        <f>Oil!I22</f>
        <v>0</v>
      </c>
      <c r="J21" s="430">
        <f t="shared" ref="J21:J30" si="1">SUM(F21:I21)</f>
        <v>1</v>
      </c>
      <c r="K21" s="299">
        <f>Oil!K22</f>
        <v>0.2</v>
      </c>
      <c r="L21" s="300">
        <f>Oil!L22</f>
        <v>0.8</v>
      </c>
      <c r="M21" s="240">
        <f>Oil!M22</f>
        <v>0</v>
      </c>
      <c r="N21" s="430">
        <f>SUM(K21:M21)</f>
        <v>1</v>
      </c>
      <c r="O21" s="677">
        <f>$AA21/Oil!$AA22*Oil!O22</f>
        <v>142256.76801116485</v>
      </c>
      <c r="P21" s="243">
        <f>D21</f>
        <v>1.2E-4</v>
      </c>
      <c r="Q21" s="243">
        <f>O21/AB21</f>
        <v>1.5688901675707287E-5</v>
      </c>
      <c r="R21" s="240">
        <f>Oil!R22</f>
        <v>1</v>
      </c>
      <c r="S21" s="240">
        <f>Oil!S22</f>
        <v>0</v>
      </c>
      <c r="T21" s="240">
        <f>Oil!T22</f>
        <v>0</v>
      </c>
      <c r="U21" s="240">
        <f>Oil!U22</f>
        <v>0</v>
      </c>
      <c r="V21" s="430">
        <f t="shared" si="0"/>
        <v>1</v>
      </c>
      <c r="W21" s="299">
        <f>Oil!W22</f>
        <v>0.2</v>
      </c>
      <c r="X21" s="300">
        <f>Oil!X22</f>
        <v>0.8</v>
      </c>
      <c r="Y21" s="240">
        <f>Oil!Y22</f>
        <v>0</v>
      </c>
      <c r="Z21" s="430">
        <f>SUM(W21:Y21)</f>
        <v>1</v>
      </c>
      <c r="AA21" s="706">
        <f>'Energy data by fuel cycle'!$G$6/SUM('Energy data by fuel cycle'!$G$5:$G$6)*Oil!AA22</f>
        <v>1185473066.759707</v>
      </c>
      <c r="AB21" s="707">
        <f>'Energy data by fuel cycle'!$G$6</f>
        <v>9067350344.3160324</v>
      </c>
      <c r="AD21" s="16" t="s">
        <v>82</v>
      </c>
      <c r="AE21" s="16">
        <v>0</v>
      </c>
      <c r="AF21" s="16">
        <v>0</v>
      </c>
    </row>
    <row r="22" spans="1:32" ht="15" customHeight="1" thickTop="1">
      <c r="A22" s="232"/>
      <c r="B22" s="232"/>
      <c r="C22" s="284"/>
      <c r="D22" s="284"/>
      <c r="E22" s="284"/>
      <c r="F22" s="240"/>
      <c r="G22" s="240"/>
      <c r="H22" s="240"/>
      <c r="I22" s="240"/>
      <c r="J22" s="425"/>
      <c r="K22" s="299"/>
      <c r="L22" s="300"/>
      <c r="M22" s="240"/>
      <c r="N22" s="425"/>
      <c r="O22" s="679"/>
      <c r="P22" s="284"/>
      <c r="Q22" s="284"/>
      <c r="R22" s="240"/>
      <c r="S22" s="240"/>
      <c r="T22" s="240"/>
      <c r="U22" s="240"/>
      <c r="V22" s="425"/>
      <c r="W22" s="299"/>
      <c r="X22" s="300"/>
      <c r="Y22" s="240"/>
      <c r="Z22" s="425"/>
      <c r="AA22" s="706"/>
      <c r="AB22" s="707"/>
      <c r="AD22" s="16" t="s">
        <v>891</v>
      </c>
      <c r="AE22" s="419">
        <f>SUM(C20:C21)</f>
        <v>142256.76801116485</v>
      </c>
      <c r="AF22" s="419">
        <f>SUM(O20:O21)</f>
        <v>1699682.8748682747</v>
      </c>
    </row>
    <row r="23" spans="1:32" ht="15" customHeight="1" thickBot="1">
      <c r="A23" s="222" t="s">
        <v>68</v>
      </c>
      <c r="B23" s="232"/>
      <c r="C23" s="284"/>
      <c r="D23" s="284"/>
      <c r="E23" s="284"/>
      <c r="F23" s="240"/>
      <c r="G23" s="240"/>
      <c r="H23" s="240"/>
      <c r="I23" s="240"/>
      <c r="J23" s="425"/>
      <c r="K23" s="299"/>
      <c r="L23" s="300"/>
      <c r="M23" s="240"/>
      <c r="N23" s="425"/>
      <c r="O23" s="679"/>
      <c r="P23" s="284"/>
      <c r="Q23" s="284"/>
      <c r="R23" s="240"/>
      <c r="S23" s="240"/>
      <c r="T23" s="240"/>
      <c r="U23" s="240"/>
      <c r="V23" s="425"/>
      <c r="W23" s="299"/>
      <c r="X23" s="300"/>
      <c r="Y23" s="240"/>
      <c r="Z23" s="425"/>
      <c r="AA23" s="706"/>
      <c r="AB23" s="707"/>
      <c r="AD23" s="16" t="s">
        <v>892</v>
      </c>
      <c r="AE23" s="419">
        <f>SUM(C24:C27)</f>
        <v>125463504.3611643</v>
      </c>
      <c r="AF23" s="419">
        <f>SUM(O24:O25)</f>
        <v>862858263.3809855</v>
      </c>
    </row>
    <row r="24" spans="1:32" ht="15" customHeight="1" thickTop="1" thickBot="1">
      <c r="A24" s="232"/>
      <c r="B24" s="232" t="s">
        <v>408</v>
      </c>
      <c r="C24" s="243">
        <f>$AA24/Oil!$AA26*Oil!C26</f>
        <v>116056585.56373654</v>
      </c>
      <c r="D24" s="243">
        <f>C24/AA24</f>
        <v>1.1702915303955796E-2</v>
      </c>
      <c r="E24" s="243">
        <f>C24/AB24</f>
        <v>1.2799393555636447E-2</v>
      </c>
      <c r="F24" s="240">
        <f>Oil!F26</f>
        <v>0.99833333333333341</v>
      </c>
      <c r="G24" s="240">
        <f>Oil!G26</f>
        <v>0</v>
      </c>
      <c r="H24" s="240">
        <f>Oil!H26</f>
        <v>1.6666666666666668E-3</v>
      </c>
      <c r="I24" s="240">
        <f>Oil!I26</f>
        <v>0</v>
      </c>
      <c r="J24" s="430">
        <f t="shared" si="1"/>
        <v>1</v>
      </c>
      <c r="K24" s="299">
        <f>Oil!K26</f>
        <v>0.27953333333333336</v>
      </c>
      <c r="L24" s="300">
        <f>Oil!L26</f>
        <v>0.72046666666666659</v>
      </c>
      <c r="M24" s="240">
        <f>Oil!M26</f>
        <v>0</v>
      </c>
      <c r="N24" s="430">
        <f>SUM(K24:M24)</f>
        <v>1</v>
      </c>
      <c r="O24" s="677">
        <f>$AA24/Oil!$AA26*Oil!O26</f>
        <v>174084878.34560484</v>
      </c>
      <c r="P24" s="243">
        <f>O24/AA24</f>
        <v>1.7554372955933695E-2</v>
      </c>
      <c r="Q24" s="243">
        <f>O24/AB24</f>
        <v>1.9199090333454672E-2</v>
      </c>
      <c r="R24" s="240">
        <f>Oil!R26</f>
        <v>0.98888888888888893</v>
      </c>
      <c r="S24" s="240">
        <f>Oil!S26</f>
        <v>0</v>
      </c>
      <c r="T24" s="240">
        <f>Oil!T26</f>
        <v>1.1111111111111112E-2</v>
      </c>
      <c r="U24" s="240">
        <f>Oil!U26</f>
        <v>0</v>
      </c>
      <c r="V24" s="430">
        <f t="shared" si="0"/>
        <v>1</v>
      </c>
      <c r="W24" s="299">
        <f>Oil!W26</f>
        <v>0.27688888888888891</v>
      </c>
      <c r="X24" s="300">
        <f>Oil!X26</f>
        <v>0.72311111111111115</v>
      </c>
      <c r="Y24" s="240">
        <f>Oil!Y26</f>
        <v>0</v>
      </c>
      <c r="Z24" s="430">
        <f>SUM(W24:Y24)</f>
        <v>1</v>
      </c>
      <c r="AA24" s="706">
        <f>'Energy data by fuel cycle'!$E$6-AA25</f>
        <v>9916895282.0249271</v>
      </c>
      <c r="AB24" s="707">
        <f>'Energy data by fuel cycle'!$G$6</f>
        <v>9067350344.3160324</v>
      </c>
      <c r="AD24" s="16" t="s">
        <v>893</v>
      </c>
      <c r="AE24" s="16">
        <v>0</v>
      </c>
      <c r="AF24" s="16">
        <v>0</v>
      </c>
    </row>
    <row r="25" spans="1:32" ht="15" customHeight="1" thickTop="1" thickBot="1">
      <c r="A25" s="232"/>
      <c r="B25" s="232" t="s">
        <v>409</v>
      </c>
      <c r="C25" s="243">
        <f>$AA25/Oil!$AA27*Oil!C27</f>
        <v>9406918.797427766</v>
      </c>
      <c r="D25" s="243">
        <f>C25/AA25</f>
        <v>6.4098779177243631E-2</v>
      </c>
      <c r="E25" s="243">
        <f>C25/AB25</f>
        <v>1.0374495790078956E-3</v>
      </c>
      <c r="F25" s="240">
        <f>Oil!F27</f>
        <v>0.80737539199690411</v>
      </c>
      <c r="G25" s="240">
        <f>Oil!G27</f>
        <v>3.9600416727475878E-2</v>
      </c>
      <c r="H25" s="240">
        <f>Oil!H27</f>
        <v>0.15302419127561995</v>
      </c>
      <c r="I25" s="240">
        <f>Oil!I27</f>
        <v>0</v>
      </c>
      <c r="J25" s="430">
        <f t="shared" si="1"/>
        <v>0.99999999999999989</v>
      </c>
      <c r="K25" s="299">
        <f>Oil!K27</f>
        <v>6.2086450435549369E-2</v>
      </c>
      <c r="L25" s="300">
        <f>Oil!L27</f>
        <v>0.92104214624944081</v>
      </c>
      <c r="M25" s="240">
        <f>Oil!M27</f>
        <v>1.68714033150098E-2</v>
      </c>
      <c r="N25" s="430">
        <f>SUM(K25:M25)</f>
        <v>1</v>
      </c>
      <c r="O25" s="677">
        <f>$AA25/Oil!$AA27*Oil!O27</f>
        <v>688773385.03538072</v>
      </c>
      <c r="P25" s="243">
        <f>O25/AA25</f>
        <v>4.6933043710994662</v>
      </c>
      <c r="Q25" s="243">
        <f>O25/AB25</f>
        <v>7.5961924804984052E-2</v>
      </c>
      <c r="R25" s="240">
        <f>Oil!R27</f>
        <v>0.5393370111669924</v>
      </c>
      <c r="S25" s="240">
        <f>Oil!S27</f>
        <v>5.1193400040327561E-2</v>
      </c>
      <c r="T25" s="240">
        <f>Oil!T27</f>
        <v>0.40946958879267986</v>
      </c>
      <c r="U25" s="240">
        <f>Oil!U27</f>
        <v>0</v>
      </c>
      <c r="V25" s="430">
        <f t="shared" si="0"/>
        <v>0.99999999999999978</v>
      </c>
      <c r="W25" s="299">
        <f>Oil!W27</f>
        <v>5.1327930421086552E-3</v>
      </c>
      <c r="X25" s="300">
        <f>Oil!X27</f>
        <v>0.99321309097664645</v>
      </c>
      <c r="Y25" s="240">
        <f>Oil!Y27</f>
        <v>1.6541159812447667E-3</v>
      </c>
      <c r="Z25" s="430">
        <f>SUM(W25:Y25)</f>
        <v>0.99999999999999989</v>
      </c>
      <c r="AA25" s="706">
        <f>'Energy data by fuel cycle'!$E$49</f>
        <v>146756598.45901424</v>
      </c>
      <c r="AB25" s="707">
        <f>'Energy data by fuel cycle'!$G$6</f>
        <v>9067350344.3160324</v>
      </c>
    </row>
    <row r="26" spans="1:32" ht="15" customHeight="1" thickTop="1">
      <c r="A26" s="232"/>
      <c r="B26" s="232" t="s">
        <v>410</v>
      </c>
      <c r="C26" s="256">
        <v>0</v>
      </c>
      <c r="D26" s="284"/>
      <c r="E26" s="284"/>
      <c r="F26" s="232"/>
      <c r="G26" s="232"/>
      <c r="H26" s="232"/>
      <c r="I26" s="232"/>
      <c r="J26" s="431"/>
      <c r="K26" s="301"/>
      <c r="L26" s="244"/>
      <c r="M26" s="232"/>
      <c r="N26" s="431"/>
      <c r="O26" s="680"/>
      <c r="P26" s="284"/>
      <c r="Q26" s="284"/>
      <c r="R26" s="232"/>
      <c r="S26" s="232"/>
      <c r="T26" s="232"/>
      <c r="U26" s="232"/>
      <c r="V26" s="431"/>
      <c r="W26" s="301"/>
      <c r="X26" s="244"/>
      <c r="Y26" s="232"/>
      <c r="Z26" s="431"/>
      <c r="AA26" s="706"/>
      <c r="AB26" s="707"/>
    </row>
    <row r="27" spans="1:32" ht="15" customHeight="1">
      <c r="A27" s="232"/>
      <c r="B27" s="232" t="s">
        <v>411</v>
      </c>
      <c r="C27" s="256" t="s">
        <v>412</v>
      </c>
      <c r="D27" s="284"/>
      <c r="E27" s="284"/>
      <c r="F27" s="232"/>
      <c r="G27" s="232"/>
      <c r="H27" s="232"/>
      <c r="I27" s="232"/>
      <c r="J27" s="431"/>
      <c r="K27" s="301"/>
      <c r="L27" s="244"/>
      <c r="M27" s="232"/>
      <c r="N27" s="431"/>
      <c r="O27" s="680"/>
      <c r="P27" s="284"/>
      <c r="Q27" s="284"/>
      <c r="R27" s="232"/>
      <c r="S27" s="232"/>
      <c r="T27" s="232"/>
      <c r="U27" s="232"/>
      <c r="V27" s="431"/>
      <c r="W27" s="301"/>
      <c r="X27" s="244"/>
      <c r="Y27" s="232"/>
      <c r="Z27" s="431"/>
      <c r="AA27" s="706"/>
      <c r="AB27" s="707"/>
    </row>
    <row r="28" spans="1:32" ht="15" customHeight="1">
      <c r="A28" s="232"/>
      <c r="B28" s="232"/>
      <c r="C28" s="232"/>
      <c r="D28" s="232"/>
      <c r="E28" s="232"/>
      <c r="F28" s="232"/>
      <c r="G28" s="232"/>
      <c r="H28" s="232"/>
      <c r="I28" s="232"/>
      <c r="J28" s="431"/>
      <c r="K28" s="301"/>
      <c r="L28" s="244"/>
      <c r="M28" s="232"/>
      <c r="N28" s="431"/>
      <c r="O28" s="680"/>
      <c r="P28" s="232"/>
      <c r="Q28" s="232"/>
      <c r="R28" s="232"/>
      <c r="S28" s="232"/>
      <c r="T28" s="232"/>
      <c r="U28" s="232"/>
      <c r="V28" s="431"/>
      <c r="W28" s="301"/>
      <c r="X28" s="244"/>
      <c r="Y28" s="232"/>
      <c r="Z28" s="431"/>
      <c r="AA28" s="301"/>
      <c r="AB28" s="708"/>
    </row>
    <row r="29" spans="1:32" ht="15" customHeight="1" thickBot="1">
      <c r="A29" s="257" t="s">
        <v>413</v>
      </c>
      <c r="B29" s="232"/>
      <c r="C29" s="232"/>
      <c r="D29" s="232"/>
      <c r="E29" s="232"/>
      <c r="F29" s="232"/>
      <c r="G29" s="232"/>
      <c r="H29" s="232"/>
      <c r="I29" s="232"/>
      <c r="J29" s="431"/>
      <c r="K29" s="301"/>
      <c r="L29" s="244"/>
      <c r="M29" s="232"/>
      <c r="N29" s="431"/>
      <c r="O29" s="680"/>
      <c r="P29" s="232"/>
      <c r="Q29" s="232"/>
      <c r="R29" s="232"/>
      <c r="S29" s="232"/>
      <c r="T29" s="232"/>
      <c r="U29" s="232"/>
      <c r="V29" s="431"/>
      <c r="W29" s="301"/>
      <c r="X29" s="244"/>
      <c r="Y29" s="232"/>
      <c r="Z29" s="431"/>
      <c r="AA29" s="301"/>
      <c r="AB29" s="708"/>
    </row>
    <row r="30" spans="1:32" ht="15" customHeight="1" thickTop="1" thickBot="1">
      <c r="A30" s="232"/>
      <c r="B30" s="232" t="s">
        <v>413</v>
      </c>
      <c r="C30" s="243">
        <f>$AA30/Oil!$AA32*Oil!C32</f>
        <v>-291845904.53403437</v>
      </c>
      <c r="D30" s="243">
        <f>C30/AA30</f>
        <v>-2.9000000000000005E-2</v>
      </c>
      <c r="E30" s="243">
        <f>C30/AB30</f>
        <v>-3.2186459489456164E-2</v>
      </c>
      <c r="F30" s="240">
        <f>Oil!F32</f>
        <v>1</v>
      </c>
      <c r="G30" s="240">
        <f>Oil!G32</f>
        <v>0</v>
      </c>
      <c r="H30" s="240">
        <f>Oil!H32</f>
        <v>0</v>
      </c>
      <c r="I30" s="240">
        <f>Oil!I32</f>
        <v>0</v>
      </c>
      <c r="J30" s="430">
        <f t="shared" si="1"/>
        <v>1</v>
      </c>
      <c r="K30" s="299">
        <f>Oil!K32</f>
        <v>0</v>
      </c>
      <c r="L30" s="300">
        <f>Oil!L32</f>
        <v>1</v>
      </c>
      <c r="M30" s="240">
        <f>Oil!M32</f>
        <v>0</v>
      </c>
      <c r="N30" s="430">
        <f>SUM(K30:M30)</f>
        <v>1</v>
      </c>
      <c r="O30" s="683">
        <f>$AA30/Oil!$AA32*Oil!O32</f>
        <v>-291845904.53403437</v>
      </c>
      <c r="P30" s="243">
        <f>O30/AA30</f>
        <v>-2.9000000000000005E-2</v>
      </c>
      <c r="Q30" s="243">
        <f>O30/AB30</f>
        <v>-3.2186459489456164E-2</v>
      </c>
      <c r="R30" s="240">
        <f>Oil!R32</f>
        <v>1</v>
      </c>
      <c r="S30" s="240">
        <f>Oil!S32</f>
        <v>0</v>
      </c>
      <c r="T30" s="240">
        <f>Oil!T32</f>
        <v>0</v>
      </c>
      <c r="U30" s="240">
        <f>Oil!U32</f>
        <v>0</v>
      </c>
      <c r="V30" s="430">
        <f t="shared" si="0"/>
        <v>1</v>
      </c>
      <c r="W30" s="299">
        <f>Oil!W32</f>
        <v>0</v>
      </c>
      <c r="X30" s="300">
        <f>Oil!X32</f>
        <v>1</v>
      </c>
      <c r="Y30" s="240">
        <f>Oil!Y32</f>
        <v>0</v>
      </c>
      <c r="Z30" s="430">
        <f>SUM(W30:Y30)</f>
        <v>1</v>
      </c>
      <c r="AA30" s="709">
        <f>'Energy data by fuel cycle'!$E$6</f>
        <v>10063651880.483942</v>
      </c>
      <c r="AB30" s="710">
        <f>'Energy data by fuel cycle'!$G$6</f>
        <v>9067350344.3160324</v>
      </c>
    </row>
    <row r="31" spans="1:32" ht="15" customHeight="1" thickTop="1">
      <c r="J31" s="433"/>
      <c r="K31" s="17"/>
      <c r="L31" s="17"/>
      <c r="N31" s="433"/>
      <c r="V31" s="433"/>
      <c r="W31" s="17"/>
      <c r="X31" s="17"/>
      <c r="Z31" s="433"/>
    </row>
    <row r="32" spans="1:32" ht="15" customHeight="1">
      <c r="J32" s="433"/>
      <c r="N32" s="433"/>
      <c r="V32" s="433"/>
      <c r="Z32" s="433"/>
    </row>
    <row r="33" spans="1:26" ht="15" customHeight="1">
      <c r="J33" s="433"/>
      <c r="N33" s="433"/>
      <c r="V33" s="433"/>
      <c r="Z33" s="433"/>
    </row>
    <row r="34" spans="1:26" ht="15" customHeight="1">
      <c r="A34" s="19"/>
      <c r="J34" s="433"/>
      <c r="N34" s="433"/>
    </row>
    <row r="35" spans="1:26" ht="15" customHeight="1">
      <c r="J35" s="433"/>
      <c r="N35" s="433"/>
      <c r="V35" s="433"/>
      <c r="Z35" s="433"/>
    </row>
    <row r="36" spans="1:26" ht="15" customHeight="1">
      <c r="J36" s="433"/>
      <c r="N36" s="433"/>
      <c r="V36" s="433"/>
      <c r="Z36" s="429"/>
    </row>
    <row r="37" spans="1:26" ht="15" customHeight="1">
      <c r="J37" s="433"/>
      <c r="N37" s="433"/>
      <c r="V37" s="433"/>
      <c r="Z37" s="433"/>
    </row>
    <row r="38" spans="1:26" ht="15" customHeight="1">
      <c r="J38" s="433"/>
      <c r="N38" s="433"/>
      <c r="V38" s="433"/>
      <c r="Z38" s="433"/>
    </row>
    <row r="39" spans="1:26" ht="15" customHeight="1">
      <c r="J39" s="433"/>
      <c r="N39" s="433"/>
      <c r="V39" s="433"/>
      <c r="Z39" s="433"/>
    </row>
    <row r="40" spans="1:26" ht="15" customHeight="1"/>
    <row r="41" spans="1:26" ht="15" customHeight="1"/>
    <row r="42" spans="1:26" ht="15" customHeight="1"/>
    <row r="43" spans="1:26" ht="15" customHeight="1"/>
    <row r="44" spans="1:26" ht="15" customHeight="1"/>
    <row r="45" spans="1:26" ht="15" customHeight="1"/>
    <row r="46" spans="1:26" ht="15" customHeight="1"/>
    <row r="47" spans="1:26" ht="15" customHeight="1"/>
    <row r="48" spans="1:26" ht="15" customHeight="1"/>
    <row r="49" spans="2:2" ht="15" customHeight="1">
      <c r="B49" s="14"/>
    </row>
    <row r="50" spans="2:2" ht="15" customHeight="1"/>
    <row r="51" spans="2:2" ht="15" customHeight="1"/>
    <row r="52" spans="2:2" ht="15" customHeight="1"/>
    <row r="53" spans="2:2" ht="15" customHeight="1"/>
    <row r="54" spans="2:2" ht="15" customHeight="1"/>
    <row r="55" spans="2:2" ht="15" customHeight="1"/>
    <row r="56" spans="2:2" ht="15" customHeight="1"/>
    <row r="57" spans="2:2" ht="15" customHeight="1"/>
    <row r="58" spans="2:2" ht="15" customHeight="1"/>
    <row r="59" spans="2:2" ht="15" customHeight="1"/>
    <row r="60" spans="2:2" ht="15" customHeight="1"/>
    <row r="61" spans="2:2" ht="15" customHeight="1"/>
    <row r="62" spans="2:2" ht="15" customHeight="1"/>
    <row r="63" spans="2:2" ht="15" customHeight="1"/>
    <row r="64" spans="2:2"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499984740745262"/>
    <pageSetUpPr fitToPage="1"/>
  </sheetPr>
  <dimension ref="A1:AF65"/>
  <sheetViews>
    <sheetView workbookViewId="0"/>
  </sheetViews>
  <sheetFormatPr baseColWidth="10" defaultRowHeight="13"/>
  <cols>
    <col min="1" max="1" width="15.83203125" style="16" customWidth="1"/>
    <col min="2" max="2" width="30.83203125" style="16" customWidth="1"/>
    <col min="3" max="3" width="10.83203125" style="16" customWidth="1"/>
    <col min="4" max="9" width="10.83203125" style="16"/>
    <col min="10" max="10" width="10.83203125" style="16" hidden="1" customWidth="1"/>
    <col min="11" max="13" width="10.83203125" style="16"/>
    <col min="14" max="14" width="10.83203125" style="16" hidden="1" customWidth="1"/>
    <col min="15" max="15" width="10.83203125" style="16" customWidth="1"/>
    <col min="16"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2" width="11.6640625" style="16" hidden="1" customWidth="1"/>
    <col min="33" max="16384" width="10.83203125" style="16"/>
  </cols>
  <sheetData>
    <row r="1" spans="1:32" ht="30">
      <c r="A1" s="365" t="s">
        <v>750</v>
      </c>
      <c r="B1" s="366"/>
      <c r="C1" s="493"/>
      <c r="D1" s="493"/>
      <c r="E1" s="367"/>
      <c r="F1" s="366"/>
      <c r="G1" s="366"/>
      <c r="H1" s="366"/>
      <c r="I1" s="366"/>
      <c r="J1" s="366"/>
      <c r="K1" s="366"/>
      <c r="L1" s="366"/>
      <c r="M1" s="366"/>
      <c r="N1" s="366"/>
      <c r="O1" s="366"/>
      <c r="P1" s="366"/>
      <c r="Q1" s="493"/>
      <c r="R1" s="493"/>
      <c r="S1" s="366"/>
      <c r="T1" s="366"/>
      <c r="U1" s="366"/>
      <c r="V1" s="366"/>
      <c r="W1" s="366"/>
      <c r="X1" s="366"/>
      <c r="Y1" s="366"/>
      <c r="Z1" s="366"/>
      <c r="AA1" s="366"/>
      <c r="AB1" s="366"/>
    </row>
    <row r="2" spans="1:32" ht="30">
      <c r="A2" s="365"/>
      <c r="B2" s="366"/>
      <c r="C2" s="366"/>
      <c r="D2" s="366"/>
      <c r="E2" s="367"/>
      <c r="F2" s="366"/>
      <c r="G2" s="366"/>
      <c r="H2" s="366"/>
      <c r="I2" s="366"/>
      <c r="J2" s="366"/>
      <c r="K2" s="366"/>
      <c r="L2" s="366"/>
      <c r="M2" s="366"/>
      <c r="N2" s="366"/>
      <c r="O2" s="366"/>
      <c r="P2" s="366"/>
      <c r="Q2" s="366"/>
      <c r="R2" s="366"/>
      <c r="S2" s="366"/>
      <c r="T2" s="366"/>
      <c r="U2" s="366"/>
      <c r="V2" s="366"/>
      <c r="W2" s="366"/>
      <c r="X2" s="366"/>
      <c r="Y2" s="366"/>
      <c r="Z2" s="366"/>
      <c r="AA2" s="366"/>
      <c r="AB2" s="366"/>
    </row>
    <row r="3" spans="1:32" ht="30">
      <c r="A3" s="365"/>
      <c r="B3" s="366"/>
      <c r="C3" s="366"/>
      <c r="D3" s="366"/>
      <c r="E3" s="367"/>
      <c r="F3" s="366"/>
      <c r="G3" s="366"/>
      <c r="H3" s="366"/>
      <c r="I3" s="366"/>
      <c r="J3" s="366"/>
      <c r="K3" s="366"/>
      <c r="L3" s="366"/>
      <c r="M3" s="366"/>
      <c r="N3" s="366"/>
      <c r="O3" s="366"/>
      <c r="P3" s="366"/>
      <c r="Q3" s="366"/>
      <c r="R3" s="366"/>
      <c r="S3" s="366"/>
      <c r="T3" s="366"/>
      <c r="U3" s="366"/>
      <c r="V3" s="366"/>
      <c r="W3" s="366"/>
      <c r="X3" s="366"/>
      <c r="Y3" s="366"/>
      <c r="Z3" s="366"/>
      <c r="AA3" s="366"/>
      <c r="AB3" s="366"/>
    </row>
    <row r="4" spans="1:32" ht="30">
      <c r="A4" s="365"/>
      <c r="B4" s="366"/>
      <c r="C4" s="366"/>
      <c r="D4" s="366"/>
      <c r="E4" s="367"/>
      <c r="F4" s="366"/>
      <c r="G4" s="366"/>
      <c r="H4" s="366"/>
      <c r="I4" s="366"/>
      <c r="J4" s="366"/>
      <c r="K4" s="366"/>
      <c r="L4" s="366"/>
      <c r="M4" s="366"/>
      <c r="N4" s="366"/>
      <c r="O4" s="366"/>
      <c r="P4" s="366"/>
      <c r="Q4" s="366"/>
      <c r="R4" s="366"/>
      <c r="S4" s="366"/>
      <c r="T4" s="366"/>
      <c r="U4" s="366"/>
      <c r="V4" s="366"/>
      <c r="W4" s="366"/>
      <c r="X4" s="366"/>
      <c r="Y4" s="366"/>
      <c r="Z4" s="366"/>
      <c r="AA4" s="366"/>
      <c r="AB4" s="366"/>
    </row>
    <row r="5" spans="1:32" ht="30">
      <c r="A5" s="365"/>
      <c r="B5" s="366"/>
      <c r="C5" s="366"/>
      <c r="D5" s="366"/>
      <c r="E5" s="367"/>
      <c r="F5" s="366"/>
      <c r="G5" s="366"/>
      <c r="H5" s="366"/>
      <c r="I5" s="366"/>
      <c r="J5" s="366"/>
      <c r="K5" s="366"/>
      <c r="L5" s="366"/>
      <c r="M5" s="366"/>
      <c r="N5" s="366"/>
      <c r="O5" s="366"/>
      <c r="P5" s="366"/>
      <c r="Q5" s="366"/>
      <c r="R5" s="366"/>
      <c r="S5" s="366"/>
      <c r="T5" s="366"/>
      <c r="U5" s="366"/>
      <c r="V5" s="366"/>
      <c r="W5" s="366"/>
      <c r="X5" s="366"/>
      <c r="Y5" s="366"/>
      <c r="Z5" s="366"/>
      <c r="AA5" s="366"/>
      <c r="AB5" s="366"/>
    </row>
    <row r="6" spans="1:32" ht="30">
      <c r="A6" s="365"/>
      <c r="B6" s="366"/>
      <c r="C6" s="366"/>
      <c r="D6" s="366"/>
      <c r="E6" s="367"/>
      <c r="F6" s="366"/>
      <c r="G6" s="366"/>
      <c r="H6" s="366"/>
      <c r="I6" s="366"/>
      <c r="J6" s="366"/>
      <c r="K6" s="366"/>
      <c r="L6" s="366"/>
      <c r="M6" s="366"/>
      <c r="N6" s="366"/>
      <c r="O6" s="366"/>
      <c r="P6" s="366"/>
      <c r="Q6" s="366"/>
      <c r="R6" s="366"/>
      <c r="S6" s="366"/>
      <c r="T6" s="366"/>
      <c r="U6" s="366"/>
      <c r="V6" s="366"/>
      <c r="W6" s="366"/>
      <c r="X6" s="366"/>
      <c r="Y6" s="366"/>
      <c r="Z6" s="366"/>
      <c r="AA6" s="366"/>
      <c r="AB6" s="366"/>
    </row>
    <row r="7" spans="1:32" ht="30">
      <c r="A7" s="365"/>
      <c r="B7" s="366"/>
      <c r="C7" s="366"/>
      <c r="D7" s="366"/>
      <c r="E7" s="367"/>
      <c r="F7" s="366"/>
      <c r="G7" s="366"/>
      <c r="H7" s="366"/>
      <c r="I7" s="366"/>
      <c r="J7" s="366"/>
      <c r="K7" s="366"/>
      <c r="L7" s="366"/>
      <c r="M7" s="366"/>
      <c r="N7" s="366"/>
      <c r="O7" s="366"/>
      <c r="P7" s="366"/>
      <c r="Q7" s="366"/>
      <c r="R7" s="366"/>
      <c r="S7" s="366"/>
      <c r="T7" s="366"/>
      <c r="U7" s="366"/>
      <c r="V7" s="366"/>
      <c r="W7" s="366"/>
      <c r="X7" s="366"/>
      <c r="Y7" s="366"/>
      <c r="Z7" s="366"/>
      <c r="AA7" s="366"/>
      <c r="AB7" s="366"/>
    </row>
    <row r="8" spans="1:32" ht="30">
      <c r="A8" s="365"/>
      <c r="B8" s="366"/>
      <c r="C8" s="366"/>
      <c r="D8" s="366"/>
      <c r="E8" s="367"/>
      <c r="F8" s="366"/>
      <c r="G8" s="366"/>
      <c r="H8" s="366"/>
      <c r="I8" s="366"/>
      <c r="J8" s="366"/>
      <c r="K8" s="366"/>
      <c r="L8" s="366"/>
      <c r="M8" s="366"/>
      <c r="N8" s="366"/>
      <c r="O8" s="366"/>
      <c r="P8" s="366"/>
      <c r="Q8" s="366"/>
      <c r="R8" s="366"/>
      <c r="S8" s="366"/>
      <c r="T8" s="366"/>
      <c r="U8" s="366"/>
      <c r="V8" s="366"/>
      <c r="W8" s="366"/>
      <c r="X8" s="366"/>
      <c r="Y8" s="366"/>
      <c r="Z8" s="366"/>
      <c r="AA8" s="366"/>
      <c r="AB8" s="366"/>
    </row>
    <row r="9" spans="1:32" ht="31" thickBot="1">
      <c r="A9" s="365"/>
      <c r="B9" s="366"/>
      <c r="C9" s="366"/>
      <c r="D9" s="366"/>
      <c r="E9" s="367"/>
      <c r="F9" s="366"/>
      <c r="G9" s="366"/>
      <c r="H9" s="366"/>
      <c r="I9" s="366"/>
      <c r="J9" s="366"/>
      <c r="K9" s="366"/>
      <c r="L9" s="366"/>
      <c r="M9" s="366"/>
      <c r="N9" s="366"/>
      <c r="O9" s="366"/>
      <c r="P9" s="366"/>
      <c r="Q9" s="366"/>
      <c r="R9" s="366"/>
      <c r="S9" s="366"/>
      <c r="T9" s="366"/>
      <c r="U9" s="366"/>
      <c r="V9" s="366"/>
      <c r="W9" s="366"/>
      <c r="X9" s="366"/>
      <c r="Y9" s="366"/>
      <c r="Z9" s="366"/>
      <c r="AA9" s="366"/>
      <c r="AB9" s="366"/>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184126571.82713586</v>
      </c>
      <c r="AF11" s="18">
        <f>X13*O13</f>
        <v>227359471.12497681</v>
      </c>
    </row>
    <row r="12" spans="1:32" ht="15" customHeight="1" thickBot="1">
      <c r="A12" s="268"/>
      <c r="B12" s="268" t="s">
        <v>48</v>
      </c>
      <c r="C12" s="269">
        <f>SUM(C15:C21)</f>
        <v>3631054609.7270312</v>
      </c>
      <c r="D12" s="269"/>
      <c r="E12" s="269">
        <f>SUM(E15:E21)</f>
        <v>2.821506168379909</v>
      </c>
      <c r="F12" s="270"/>
      <c r="G12" s="270"/>
      <c r="H12" s="270"/>
      <c r="I12" s="270"/>
      <c r="J12" s="270"/>
      <c r="K12" s="501"/>
      <c r="L12" s="270"/>
      <c r="M12" s="270"/>
      <c r="N12" s="270"/>
      <c r="O12" s="276">
        <f>SUM(O15:O21)</f>
        <v>4495712595.6838512</v>
      </c>
      <c r="P12" s="268"/>
      <c r="Q12" s="269">
        <f>SUM(Q15:Q21)</f>
        <v>3.4933875095144389</v>
      </c>
      <c r="R12" s="270"/>
      <c r="S12" s="270"/>
      <c r="T12" s="270"/>
      <c r="U12" s="270"/>
      <c r="V12" s="270"/>
      <c r="W12" s="501"/>
      <c r="X12" s="270"/>
      <c r="Y12" s="270"/>
      <c r="Z12" s="270"/>
      <c r="AA12" s="235"/>
      <c r="AB12" s="236"/>
      <c r="AD12" s="16" t="s">
        <v>887</v>
      </c>
      <c r="AE12" s="18">
        <f>K13*C13</f>
        <v>3498404864.7155814</v>
      </c>
      <c r="AF12" s="18">
        <f>W13*O13</f>
        <v>4319829951.3745594</v>
      </c>
    </row>
    <row r="13" spans="1:32" ht="15" customHeight="1" thickTop="1" thickBot="1">
      <c r="A13" s="271"/>
      <c r="B13" s="271" t="s">
        <v>870</v>
      </c>
      <c r="C13" s="272">
        <f>SUM(C15:C18)</f>
        <v>3682531436.542717</v>
      </c>
      <c r="D13" s="272"/>
      <c r="E13" s="272">
        <f>SUM(E15:E18)</f>
        <v>2.861506168379909</v>
      </c>
      <c r="F13" s="282">
        <f>SUMPRODUCT(F15:F18,$C$15:$C$18)/SUM($C$15:$C$18)</f>
        <v>1</v>
      </c>
      <c r="G13" s="282">
        <f t="shared" ref="G13:M13" si="0">SUMPRODUCT(G15:G18,$C$15:$C$18)/SUM($C$15:$C$18)</f>
        <v>0</v>
      </c>
      <c r="H13" s="282">
        <f t="shared" si="0"/>
        <v>0</v>
      </c>
      <c r="I13" s="282">
        <f t="shared" si="0"/>
        <v>0</v>
      </c>
      <c r="J13" s="430">
        <f>SUM(F13:I13)</f>
        <v>1</v>
      </c>
      <c r="K13" s="393">
        <f>SUMPRODUCT(K15:K18,$C$15:$C$18)/SUM($C$15:$C$18)</f>
        <v>0.95000000000000007</v>
      </c>
      <c r="L13" s="282">
        <f>SUMPRODUCT(L15:L18,$C$15:$C$18)/SUM($C$15:$C$18)</f>
        <v>0.05</v>
      </c>
      <c r="M13" s="282">
        <f t="shared" si="0"/>
        <v>0</v>
      </c>
      <c r="N13" s="430">
        <f>SUM(K13:M13)</f>
        <v>1</v>
      </c>
      <c r="O13" s="277">
        <f>SUM(O15:O18)</f>
        <v>4547189422.4995365</v>
      </c>
      <c r="P13" s="271"/>
      <c r="Q13" s="272">
        <f>SUM(Q15:Q18)</f>
        <v>3.5333875095144389</v>
      </c>
      <c r="R13" s="282">
        <f>SUMPRODUCT(R15:R21,$O$15:$O$21)/SUM($O$15:$O$21)</f>
        <v>1</v>
      </c>
      <c r="S13" s="282">
        <f t="shared" ref="S13:U13" si="1">SUMPRODUCT(S15:S21,$O$15:$O$21)/SUM($O$15:$O$21)</f>
        <v>0</v>
      </c>
      <c r="T13" s="282">
        <f t="shared" si="1"/>
        <v>0</v>
      </c>
      <c r="U13" s="282">
        <f t="shared" si="1"/>
        <v>0</v>
      </c>
      <c r="V13" s="430">
        <f>SUM(R13:U13)</f>
        <v>1</v>
      </c>
      <c r="W13" s="393">
        <f>SUMPRODUCT(W15:W18,$O$15:$O$18)/SUM($O$15:$O$18)</f>
        <v>0.95</v>
      </c>
      <c r="X13" s="282">
        <f>SUMPRODUCT(X15:X18,$O$15:$O$18)/SUM($O$15:$O$18)</f>
        <v>4.9999999999999996E-2</v>
      </c>
      <c r="Y13" s="282">
        <f>SUMPRODUCT(Y15:Y18,$O$15:$O$18)/SUM($O$15:$O$18)</f>
        <v>0</v>
      </c>
      <c r="Z13" s="430">
        <f>SUM(W13:Y13)</f>
        <v>1</v>
      </c>
      <c r="AA13" s="702"/>
      <c r="AB13" s="703"/>
      <c r="AD13" s="16" t="s">
        <v>888</v>
      </c>
      <c r="AE13" s="18">
        <f>M13*C13</f>
        <v>0</v>
      </c>
      <c r="AF13" s="18">
        <f>Y13*O13</f>
        <v>0</v>
      </c>
    </row>
    <row r="14" spans="1:32" ht="15" customHeight="1" thickTop="1" thickBot="1">
      <c r="A14" s="224" t="s">
        <v>591</v>
      </c>
      <c r="B14" s="232"/>
      <c r="C14" s="232"/>
      <c r="D14" s="232"/>
      <c r="E14" s="232"/>
      <c r="F14" s="520"/>
      <c r="G14" s="244"/>
      <c r="H14" s="244"/>
      <c r="I14" s="244"/>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23"/>
      <c r="B15" s="232" t="s">
        <v>440</v>
      </c>
      <c r="C15" s="243">
        <v>3529635973.726007</v>
      </c>
      <c r="D15" s="243">
        <f>C15/AA15</f>
        <v>1.6921575386335206</v>
      </c>
      <c r="E15" s="243">
        <f>C15/AB15</f>
        <v>2.7426989517935745</v>
      </c>
      <c r="F15" s="240">
        <v>1</v>
      </c>
      <c r="G15" s="240"/>
      <c r="H15" s="240"/>
      <c r="I15" s="240"/>
      <c r="J15" s="430">
        <f t="shared" ref="J15:J18" si="2">SUM(F15:I15)</f>
        <v>1</v>
      </c>
      <c r="K15" s="519">
        <v>0.95</v>
      </c>
      <c r="L15" s="496">
        <v>0.05</v>
      </c>
      <c r="M15" s="240"/>
      <c r="N15" s="430">
        <f>SUM(K15:M15)</f>
        <v>1</v>
      </c>
      <c r="O15" s="677">
        <v>4377305574.9254141</v>
      </c>
      <c r="P15" s="243">
        <f>O15/AA15</f>
        <v>2.0985423660257498</v>
      </c>
      <c r="Q15" s="243">
        <f>O15/AB15</f>
        <v>3.4013794910851782</v>
      </c>
      <c r="R15" s="240">
        <v>1</v>
      </c>
      <c r="S15" s="240"/>
      <c r="T15" s="240"/>
      <c r="U15" s="240"/>
      <c r="V15" s="430">
        <f t="shared" ref="V15:V18" si="3">SUM(R15:U15)</f>
        <v>1</v>
      </c>
      <c r="W15" s="519">
        <v>0.95</v>
      </c>
      <c r="X15" s="496">
        <v>0.05</v>
      </c>
      <c r="Y15" s="240"/>
      <c r="Z15" s="430">
        <f>SUM(W15:Y15)</f>
        <v>1</v>
      </c>
      <c r="AA15" s="706">
        <f>A35*10^6*A25*GJ.per.mmbtu</f>
        <v>2085879058.6225901</v>
      </c>
      <c r="AB15" s="707">
        <f>'Energy data by fuel cycle'!$C$133</f>
        <v>1286920670.3921402</v>
      </c>
      <c r="AD15" s="16" t="s">
        <v>267</v>
      </c>
      <c r="AE15" s="18">
        <f>F13*C13</f>
        <v>3682531436.542717</v>
      </c>
      <c r="AF15" s="18">
        <f>R13*O13</f>
        <v>4547189422.4995365</v>
      </c>
    </row>
    <row r="16" spans="1:32" ht="15" customHeight="1" thickTop="1">
      <c r="A16" s="223"/>
      <c r="B16" s="232"/>
      <c r="C16" s="284"/>
      <c r="D16" s="232"/>
      <c r="E16" s="232"/>
      <c r="F16" s="240"/>
      <c r="G16" s="240"/>
      <c r="H16" s="240"/>
      <c r="I16" s="240"/>
      <c r="J16" s="425"/>
      <c r="K16" s="299"/>
      <c r="L16" s="300"/>
      <c r="M16" s="240"/>
      <c r="N16" s="425"/>
      <c r="O16" s="679"/>
      <c r="P16" s="232"/>
      <c r="Q16" s="232"/>
      <c r="R16" s="240"/>
      <c r="S16" s="240"/>
      <c r="T16" s="240"/>
      <c r="U16" s="240"/>
      <c r="V16" s="425"/>
      <c r="W16" s="299"/>
      <c r="X16" s="300"/>
      <c r="Y16" s="240"/>
      <c r="Z16" s="425"/>
      <c r="AA16" s="706"/>
      <c r="AB16" s="707"/>
      <c r="AD16" s="16" t="s">
        <v>654</v>
      </c>
      <c r="AE16" s="18">
        <f>G13*C13</f>
        <v>0</v>
      </c>
      <c r="AF16" s="18">
        <f>S13*O13</f>
        <v>0</v>
      </c>
    </row>
    <row r="17" spans="1:32" ht="15" customHeight="1" thickBot="1">
      <c r="A17" s="222" t="s">
        <v>68</v>
      </c>
      <c r="B17" s="232"/>
      <c r="C17" s="232"/>
      <c r="D17" s="232"/>
      <c r="E17" s="232"/>
      <c r="F17" s="240"/>
      <c r="G17" s="240"/>
      <c r="H17" s="240"/>
      <c r="I17" s="240"/>
      <c r="J17" s="425"/>
      <c r="K17" s="299"/>
      <c r="L17" s="300"/>
      <c r="M17" s="240"/>
      <c r="N17" s="425"/>
      <c r="O17" s="680"/>
      <c r="P17" s="232"/>
      <c r="Q17" s="232"/>
      <c r="R17" s="240"/>
      <c r="S17" s="240"/>
      <c r="T17" s="240"/>
      <c r="U17" s="240"/>
      <c r="V17" s="425"/>
      <c r="W17" s="299"/>
      <c r="X17" s="300"/>
      <c r="Y17" s="240"/>
      <c r="Z17" s="425"/>
      <c r="AA17" s="706"/>
      <c r="AB17" s="707"/>
      <c r="AD17" s="16" t="s">
        <v>889</v>
      </c>
      <c r="AE17" s="18">
        <f>H13*C13</f>
        <v>0</v>
      </c>
      <c r="AF17" s="18">
        <f>T13*O13</f>
        <v>0</v>
      </c>
    </row>
    <row r="18" spans="1:32" ht="15" customHeight="1" thickTop="1" thickBot="1">
      <c r="A18" s="232"/>
      <c r="B18" s="232" t="s">
        <v>444</v>
      </c>
      <c r="C18" s="243">
        <v>152895462.81671003</v>
      </c>
      <c r="D18" s="243">
        <f>C18/AA18</f>
        <v>7.3300253044236666E-2</v>
      </c>
      <c r="E18" s="243">
        <f>C18/AB18</f>
        <v>0.11880721658633468</v>
      </c>
      <c r="F18" s="240">
        <v>1</v>
      </c>
      <c r="G18" s="240"/>
      <c r="H18" s="240"/>
      <c r="I18" s="240"/>
      <c r="J18" s="430">
        <f t="shared" si="2"/>
        <v>1</v>
      </c>
      <c r="K18" s="511">
        <f>K15</f>
        <v>0.95</v>
      </c>
      <c r="L18" s="347">
        <f>L15</f>
        <v>0.05</v>
      </c>
      <c r="M18" s="240"/>
      <c r="N18" s="430">
        <f>SUM(K18:M18)</f>
        <v>1</v>
      </c>
      <c r="O18" s="677">
        <f>C18/$A$33</f>
        <v>169883847.57412225</v>
      </c>
      <c r="P18" s="243">
        <f>O18/AA18</f>
        <v>8.1444725604707405E-2</v>
      </c>
      <c r="Q18" s="243">
        <f>O18/AB18</f>
        <v>0.13200801842926077</v>
      </c>
      <c r="R18" s="240">
        <v>1</v>
      </c>
      <c r="S18" s="240"/>
      <c r="T18" s="240"/>
      <c r="U18" s="240"/>
      <c r="V18" s="430">
        <f t="shared" si="3"/>
        <v>1</v>
      </c>
      <c r="W18" s="511">
        <f>W15</f>
        <v>0.95</v>
      </c>
      <c r="X18" s="347">
        <f>X15</f>
        <v>0.05</v>
      </c>
      <c r="Y18" s="240"/>
      <c r="Z18" s="430">
        <f>SUM(W18:Y18)</f>
        <v>1</v>
      </c>
      <c r="AA18" s="706">
        <f>A35*10^6*A25*GJ.per.mmbtu</f>
        <v>2085879058.6225901</v>
      </c>
      <c r="AB18" s="707">
        <f>'Energy data by fuel cycle'!$C$133</f>
        <v>1286920670.3921402</v>
      </c>
      <c r="AD18" s="16" t="s">
        <v>890</v>
      </c>
      <c r="AE18" s="18">
        <f>I13*C13</f>
        <v>0</v>
      </c>
      <c r="AF18" s="18">
        <f>U13*O13</f>
        <v>0</v>
      </c>
    </row>
    <row r="19" spans="1:32" ht="15" customHeight="1" thickTop="1">
      <c r="A19" s="232"/>
      <c r="B19" s="232"/>
      <c r="C19" s="232"/>
      <c r="D19" s="232"/>
      <c r="E19" s="232"/>
      <c r="F19" s="232"/>
      <c r="G19" s="232"/>
      <c r="H19" s="232"/>
      <c r="I19" s="232"/>
      <c r="J19" s="431"/>
      <c r="K19" s="301"/>
      <c r="L19" s="244"/>
      <c r="M19" s="232"/>
      <c r="N19" s="431"/>
      <c r="O19" s="680"/>
      <c r="P19" s="232"/>
      <c r="Q19" s="232"/>
      <c r="R19" s="232"/>
      <c r="S19" s="232"/>
      <c r="T19" s="232"/>
      <c r="U19" s="232"/>
      <c r="V19" s="431"/>
      <c r="W19" s="301"/>
      <c r="X19" s="244"/>
      <c r="Z19" s="433"/>
      <c r="AA19" s="301"/>
      <c r="AB19" s="708"/>
    </row>
    <row r="20" spans="1:32" ht="15" customHeight="1" thickBot="1">
      <c r="A20" s="257" t="s">
        <v>413</v>
      </c>
      <c r="B20" s="232"/>
      <c r="C20" s="232"/>
      <c r="D20" s="232"/>
      <c r="E20" s="232"/>
      <c r="F20" s="232"/>
      <c r="G20" s="232"/>
      <c r="H20" s="232"/>
      <c r="I20" s="232"/>
      <c r="J20" s="431"/>
      <c r="K20" s="301"/>
      <c r="L20" s="244"/>
      <c r="M20" s="232"/>
      <c r="N20" s="431"/>
      <c r="O20" s="680"/>
      <c r="P20" s="232"/>
      <c r="Q20" s="232"/>
      <c r="R20" s="232"/>
      <c r="S20" s="232"/>
      <c r="T20" s="232"/>
      <c r="U20" s="232"/>
      <c r="V20" s="431"/>
      <c r="W20" s="301"/>
      <c r="X20" s="244"/>
      <c r="Y20" s="232"/>
      <c r="Z20" s="431"/>
      <c r="AA20" s="301"/>
      <c r="AB20" s="708"/>
      <c r="AD20" s="16" t="s">
        <v>614</v>
      </c>
      <c r="AE20" s="419">
        <f>SUM(C15)</f>
        <v>3529635973.726007</v>
      </c>
      <c r="AF20" s="419">
        <f>O15</f>
        <v>4377305574.9254141</v>
      </c>
    </row>
    <row r="21" spans="1:32" ht="15" customHeight="1" thickTop="1" thickBot="1">
      <c r="A21" s="232"/>
      <c r="B21" s="232" t="s">
        <v>446</v>
      </c>
      <c r="C21" s="243">
        <f>D21*AA21</f>
        <v>-51476826.815685607</v>
      </c>
      <c r="D21" s="243">
        <v>-0.04</v>
      </c>
      <c r="E21" s="243">
        <f>C21/AB21</f>
        <v>-0.04</v>
      </c>
      <c r="F21" s="240">
        <v>1</v>
      </c>
      <c r="G21" s="240"/>
      <c r="H21" s="240"/>
      <c r="I21" s="240"/>
      <c r="J21" s="430">
        <f>SUM(F21:I21)</f>
        <v>1</v>
      </c>
      <c r="K21" s="299"/>
      <c r="L21" s="300">
        <v>1</v>
      </c>
      <c r="M21" s="240"/>
      <c r="N21" s="430">
        <f>SUM(K21:M21)</f>
        <v>1</v>
      </c>
      <c r="O21" s="677">
        <f>AA21*P21</f>
        <v>-51476826.815685607</v>
      </c>
      <c r="P21" s="243">
        <f>D21</f>
        <v>-0.04</v>
      </c>
      <c r="Q21" s="243">
        <f>O21/AB21</f>
        <v>-0.04</v>
      </c>
      <c r="R21" s="240">
        <v>1</v>
      </c>
      <c r="S21" s="240"/>
      <c r="T21" s="240"/>
      <c r="U21" s="240"/>
      <c r="V21" s="430">
        <f>SUM(R21:U21)</f>
        <v>1</v>
      </c>
      <c r="W21" s="299"/>
      <c r="X21" s="300">
        <v>1</v>
      </c>
      <c r="Y21" s="240"/>
      <c r="Z21" s="430">
        <f>SUM(W21:Y21)</f>
        <v>1</v>
      </c>
      <c r="AA21" s="709">
        <f>'Energy data by fuel cycle'!$C$133</f>
        <v>1286920670.3921402</v>
      </c>
      <c r="AB21" s="710">
        <f>'Energy data by fuel cycle'!$C$133</f>
        <v>1286920670.3921402</v>
      </c>
      <c r="AD21" s="16" t="s">
        <v>82</v>
      </c>
    </row>
    <row r="22" spans="1:32" ht="15" customHeight="1" thickTop="1">
      <c r="A22" s="232"/>
      <c r="B22" s="232"/>
      <c r="C22" s="232"/>
      <c r="D22" s="232"/>
      <c r="E22" s="232"/>
      <c r="F22" s="232"/>
      <c r="G22" s="232"/>
      <c r="H22" s="232"/>
      <c r="I22" s="232"/>
      <c r="J22" s="431"/>
      <c r="K22" s="244"/>
      <c r="L22" s="244"/>
      <c r="M22" s="232"/>
      <c r="N22" s="431"/>
      <c r="O22" s="232"/>
      <c r="P22" s="232"/>
      <c r="Q22" s="232"/>
      <c r="R22" s="232"/>
      <c r="S22" s="232"/>
      <c r="T22" s="232"/>
      <c r="U22" s="232"/>
      <c r="V22" s="431"/>
      <c r="W22" s="244"/>
      <c r="X22" s="244"/>
      <c r="Y22" s="232"/>
      <c r="Z22" s="431"/>
      <c r="AA22" s="232"/>
      <c r="AB22" s="232"/>
      <c r="AD22" s="16" t="s">
        <v>891</v>
      </c>
    </row>
    <row r="23" spans="1:32" ht="15" customHeight="1">
      <c r="A23" s="251" t="s">
        <v>414</v>
      </c>
      <c r="B23" s="232"/>
      <c r="C23" s="232"/>
      <c r="D23" s="232"/>
      <c r="E23" s="232"/>
      <c r="F23" s="232"/>
      <c r="G23" s="232"/>
      <c r="H23" s="232"/>
      <c r="I23" s="232"/>
      <c r="J23" s="431"/>
      <c r="K23" s="244"/>
      <c r="L23" s="244"/>
      <c r="M23" s="232"/>
      <c r="N23" s="431"/>
      <c r="O23" s="232"/>
      <c r="P23" s="232"/>
      <c r="Q23" s="232"/>
      <c r="R23" s="232"/>
      <c r="S23" s="232"/>
      <c r="T23" s="232"/>
      <c r="U23" s="232"/>
      <c r="V23" s="431"/>
      <c r="W23" s="244"/>
      <c r="X23" s="244"/>
      <c r="Y23" s="232"/>
      <c r="Z23" s="431"/>
      <c r="AA23" s="232"/>
      <c r="AB23" s="232"/>
      <c r="AD23" s="16" t="s">
        <v>892</v>
      </c>
      <c r="AE23" s="419">
        <f>C18</f>
        <v>152895462.81671003</v>
      </c>
      <c r="AF23" s="419">
        <f>O18</f>
        <v>169883847.57412225</v>
      </c>
    </row>
    <row r="24" spans="1:32" ht="15" customHeight="1">
      <c r="A24" s="232" t="s">
        <v>415</v>
      </c>
      <c r="B24" s="232"/>
      <c r="C24" s="232"/>
      <c r="D24" s="232"/>
      <c r="E24" s="232"/>
      <c r="F24" s="232"/>
      <c r="G24" s="232"/>
      <c r="H24" s="232"/>
      <c r="I24" s="232"/>
      <c r="J24" s="431"/>
      <c r="K24" s="244"/>
      <c r="L24" s="244"/>
      <c r="M24" s="232"/>
      <c r="N24" s="431"/>
      <c r="O24" s="232"/>
      <c r="P24" s="232"/>
      <c r="Q24" s="232"/>
      <c r="R24" s="232"/>
      <c r="S24" s="232"/>
      <c r="T24" s="232"/>
      <c r="U24" s="232"/>
      <c r="V24" s="431"/>
      <c r="W24" s="244"/>
      <c r="X24" s="244"/>
      <c r="Y24" s="232"/>
      <c r="Z24" s="431"/>
      <c r="AA24" s="232"/>
      <c r="AB24" s="232"/>
      <c r="AD24" s="16" t="s">
        <v>893</v>
      </c>
    </row>
    <row r="25" spans="1:32" ht="15" customHeight="1">
      <c r="A25" s="232">
        <v>5.7969999999999997</v>
      </c>
      <c r="B25" s="232" t="s">
        <v>448</v>
      </c>
      <c r="C25" s="232" t="s">
        <v>449</v>
      </c>
      <c r="D25" s="232"/>
      <c r="E25" s="232"/>
      <c r="F25" s="232"/>
      <c r="G25" s="232"/>
      <c r="H25" s="232"/>
      <c r="I25" s="232"/>
      <c r="J25" s="431"/>
      <c r="K25" s="244"/>
      <c r="L25" s="244"/>
      <c r="M25" s="232"/>
      <c r="N25" s="431"/>
      <c r="O25" s="232"/>
      <c r="P25" s="232"/>
      <c r="Q25" s="232"/>
      <c r="R25" s="232"/>
      <c r="S25" s="232"/>
      <c r="T25" s="232"/>
      <c r="U25" s="232"/>
      <c r="V25" s="431"/>
      <c r="W25" s="244"/>
      <c r="X25" s="244"/>
      <c r="Y25" s="232"/>
      <c r="Z25" s="431"/>
      <c r="AA25" s="232"/>
      <c r="AB25" s="232"/>
    </row>
    <row r="26" spans="1:32" ht="15" customHeight="1">
      <c r="A26" s="232">
        <v>3.5579999999999998</v>
      </c>
      <c r="B26" s="232" t="s">
        <v>450</v>
      </c>
      <c r="C26" s="232" t="s">
        <v>449</v>
      </c>
      <c r="D26" s="246"/>
      <c r="E26" s="232"/>
      <c r="F26" s="232"/>
      <c r="G26" s="232"/>
      <c r="H26" s="232"/>
      <c r="I26" s="232"/>
      <c r="J26" s="431"/>
      <c r="K26" s="244"/>
      <c r="L26" s="244"/>
      <c r="M26" s="232"/>
      <c r="N26" s="431"/>
      <c r="O26" s="232"/>
      <c r="P26" s="232"/>
      <c r="Q26" s="232"/>
      <c r="R26" s="232"/>
      <c r="S26" s="232"/>
      <c r="T26" s="232"/>
      <c r="U26" s="232"/>
      <c r="V26" s="431"/>
      <c r="W26" s="244"/>
      <c r="X26" s="244"/>
      <c r="Y26" s="232"/>
      <c r="Z26" s="431"/>
      <c r="AA26" s="232"/>
      <c r="AB26" s="232"/>
    </row>
    <row r="27" spans="1:32" ht="15" customHeight="1">
      <c r="A27" s="232">
        <v>0.38</v>
      </c>
      <c r="B27" s="232" t="s">
        <v>451</v>
      </c>
      <c r="C27" s="232"/>
      <c r="D27" s="232"/>
      <c r="E27" s="232"/>
      <c r="F27" s="232"/>
      <c r="G27" s="232"/>
      <c r="H27" s="232"/>
      <c r="I27" s="232"/>
      <c r="J27" s="431"/>
      <c r="K27" s="244"/>
      <c r="L27" s="244"/>
      <c r="M27" s="232"/>
      <c r="N27" s="431"/>
      <c r="O27" s="232"/>
      <c r="P27" s="232"/>
      <c r="Q27" s="232"/>
      <c r="R27" s="232"/>
      <c r="S27" s="232"/>
      <c r="T27" s="232"/>
      <c r="U27" s="232"/>
      <c r="V27" s="431"/>
      <c r="W27" s="244"/>
      <c r="X27" s="244"/>
      <c r="Y27" s="232"/>
      <c r="Z27" s="431"/>
      <c r="AA27" s="232"/>
      <c r="AB27" s="232"/>
    </row>
    <row r="28" spans="1:32" ht="15" customHeight="1">
      <c r="A28" s="232">
        <v>0.70499999999999996</v>
      </c>
      <c r="B28" s="232" t="s">
        <v>452</v>
      </c>
      <c r="C28" s="232"/>
      <c r="D28" s="232"/>
      <c r="E28" s="232"/>
      <c r="F28" s="232"/>
      <c r="G28" s="232"/>
      <c r="H28" s="232"/>
      <c r="I28" s="232"/>
      <c r="J28" s="431"/>
      <c r="K28" s="244"/>
      <c r="L28" s="244"/>
      <c r="M28" s="232"/>
      <c r="N28" s="431"/>
      <c r="O28" s="232"/>
      <c r="P28" s="232"/>
      <c r="Q28" s="232"/>
      <c r="R28" s="232"/>
      <c r="S28" s="232"/>
      <c r="T28" s="232"/>
      <c r="U28" s="232"/>
      <c r="V28" s="431"/>
      <c r="W28" s="244"/>
      <c r="X28" s="244"/>
      <c r="Y28" s="232"/>
      <c r="Z28" s="431"/>
      <c r="AA28" s="232"/>
      <c r="AB28" s="232"/>
    </row>
    <row r="29" spans="1:32" ht="15" customHeight="1">
      <c r="A29" s="345">
        <v>80.792170708478849</v>
      </c>
      <c r="B29" s="232" t="s">
        <v>453</v>
      </c>
      <c r="C29" s="232"/>
      <c r="D29" s="232"/>
      <c r="E29" s="232"/>
      <c r="F29" s="232"/>
      <c r="G29" s="232"/>
      <c r="H29" s="232"/>
      <c r="I29" s="232"/>
      <c r="J29" s="431"/>
      <c r="K29" s="244"/>
      <c r="L29" s="244"/>
      <c r="M29" s="232"/>
      <c r="N29" s="431"/>
      <c r="O29" s="232"/>
      <c r="P29" s="232"/>
      <c r="Q29" s="232"/>
      <c r="R29" s="232"/>
      <c r="S29" s="232"/>
      <c r="T29" s="232"/>
      <c r="U29" s="232"/>
      <c r="V29" s="431"/>
      <c r="W29" s="244"/>
      <c r="X29" s="244"/>
      <c r="Y29" s="232"/>
      <c r="Z29" s="431"/>
      <c r="AA29" s="232"/>
      <c r="AB29" s="232"/>
    </row>
    <row r="30" spans="1:32" ht="15" customHeight="1">
      <c r="A30" s="345">
        <v>65.146686071355333</v>
      </c>
      <c r="B30" s="232" t="s">
        <v>454</v>
      </c>
      <c r="C30" s="232"/>
      <c r="D30" s="232"/>
      <c r="E30" s="232"/>
      <c r="F30" s="232"/>
      <c r="G30" s="232"/>
      <c r="H30" s="232"/>
      <c r="I30" s="232"/>
      <c r="J30" s="431"/>
      <c r="K30" s="244"/>
      <c r="L30" s="244"/>
      <c r="M30" s="232"/>
      <c r="N30" s="431"/>
      <c r="O30" s="232"/>
      <c r="P30" s="232"/>
      <c r="Q30" s="232"/>
      <c r="R30" s="232"/>
      <c r="S30" s="232"/>
      <c r="T30" s="232"/>
      <c r="U30" s="232"/>
      <c r="V30" s="431"/>
      <c r="W30" s="244"/>
      <c r="X30" s="244"/>
      <c r="Y30" s="232"/>
      <c r="Z30" s="431"/>
      <c r="AA30" s="232"/>
      <c r="AB30" s="232"/>
    </row>
    <row r="31" spans="1:32" ht="15" customHeight="1">
      <c r="A31" s="232">
        <v>2.7</v>
      </c>
      <c r="B31" s="232" t="s">
        <v>455</v>
      </c>
      <c r="C31" s="232"/>
      <c r="D31" s="232"/>
      <c r="E31" s="232"/>
      <c r="F31" s="232"/>
      <c r="G31" s="232"/>
      <c r="H31" s="232"/>
      <c r="I31" s="232"/>
      <c r="J31" s="431"/>
      <c r="K31" s="244"/>
      <c r="L31" s="244"/>
      <c r="M31" s="232"/>
      <c r="N31" s="431"/>
      <c r="O31" s="232"/>
      <c r="P31" s="232"/>
      <c r="Q31" s="232"/>
      <c r="R31" s="232"/>
      <c r="S31" s="232"/>
      <c r="T31" s="232"/>
      <c r="U31" s="232"/>
      <c r="V31" s="431"/>
      <c r="W31" s="244"/>
      <c r="X31" s="244"/>
      <c r="Y31" s="232"/>
      <c r="Z31" s="431"/>
      <c r="AA31" s="232"/>
      <c r="AB31" s="232"/>
    </row>
    <row r="32" spans="1:32" ht="15" customHeight="1">
      <c r="A32" s="232">
        <v>3.92</v>
      </c>
      <c r="B32" s="232" t="s">
        <v>456</v>
      </c>
      <c r="C32" s="232"/>
      <c r="D32" s="232"/>
      <c r="E32" s="232"/>
      <c r="F32" s="232"/>
      <c r="G32" s="232"/>
      <c r="H32" s="232"/>
      <c r="I32" s="232"/>
      <c r="J32" s="431"/>
      <c r="K32" s="232"/>
      <c r="L32" s="232"/>
      <c r="M32" s="232"/>
      <c r="N32" s="431"/>
      <c r="O32" s="232"/>
      <c r="P32" s="232"/>
      <c r="Q32" s="232"/>
      <c r="R32" s="232"/>
      <c r="S32" s="232"/>
      <c r="T32" s="232"/>
      <c r="U32" s="232"/>
      <c r="V32" s="431"/>
      <c r="W32" s="232"/>
      <c r="X32" s="232"/>
      <c r="Y32" s="232"/>
      <c r="Z32" s="431"/>
      <c r="AA32" s="232"/>
      <c r="AB32" s="232"/>
    </row>
    <row r="33" spans="1:28" ht="15" customHeight="1">
      <c r="A33" s="232">
        <v>0.9</v>
      </c>
      <c r="B33" s="232" t="s">
        <v>472</v>
      </c>
      <c r="C33" s="232"/>
      <c r="D33" s="232"/>
      <c r="E33" s="232"/>
      <c r="F33" s="232"/>
      <c r="G33" s="232"/>
      <c r="H33" s="232"/>
      <c r="I33" s="232"/>
      <c r="J33" s="431"/>
      <c r="K33" s="232"/>
      <c r="L33" s="232"/>
      <c r="M33" s="232"/>
      <c r="N33" s="431"/>
      <c r="O33" s="232"/>
      <c r="P33" s="232"/>
      <c r="Q33" s="232"/>
      <c r="R33" s="232"/>
      <c r="S33" s="232"/>
      <c r="T33" s="232"/>
      <c r="U33" s="232"/>
      <c r="V33" s="431"/>
      <c r="W33" s="232"/>
      <c r="X33" s="232"/>
      <c r="Y33" s="232"/>
      <c r="Z33" s="431"/>
      <c r="AA33" s="232"/>
      <c r="AB33" s="232"/>
    </row>
    <row r="34" spans="1:28" ht="15" customHeight="1">
      <c r="A34" s="232" t="s">
        <v>419</v>
      </c>
      <c r="B34" s="232"/>
      <c r="C34" s="232"/>
      <c r="D34" s="232"/>
      <c r="E34" s="232"/>
      <c r="F34" s="232"/>
      <c r="G34" s="232"/>
      <c r="H34" s="232"/>
      <c r="I34" s="232"/>
      <c r="J34" s="431"/>
      <c r="K34" s="232"/>
      <c r="L34" s="232"/>
      <c r="M34" s="232"/>
      <c r="N34" s="431"/>
      <c r="O34" s="232"/>
      <c r="P34" s="232"/>
      <c r="Q34" s="232"/>
      <c r="R34" s="232"/>
      <c r="S34" s="232"/>
      <c r="T34" s="232"/>
      <c r="U34" s="232"/>
      <c r="V34" s="232"/>
      <c r="W34" s="232"/>
      <c r="X34" s="232"/>
      <c r="Y34" s="232"/>
      <c r="Z34" s="232"/>
      <c r="AA34" s="232"/>
      <c r="AB34" s="232"/>
    </row>
    <row r="35" spans="1:28" ht="15" customHeight="1">
      <c r="A35" s="232">
        <v>340.78100000000001</v>
      </c>
      <c r="B35" s="232" t="s">
        <v>473</v>
      </c>
      <c r="C35" s="232" t="s">
        <v>474</v>
      </c>
      <c r="D35" s="232"/>
      <c r="E35" s="232"/>
      <c r="F35" s="232"/>
      <c r="G35" s="232"/>
      <c r="H35" s="232"/>
      <c r="I35" s="232"/>
      <c r="J35" s="431"/>
      <c r="K35" s="232"/>
      <c r="L35" s="232"/>
      <c r="M35" s="232"/>
      <c r="N35" s="431"/>
      <c r="O35" s="232"/>
      <c r="P35" s="232"/>
      <c r="Q35" s="232"/>
      <c r="R35" s="232"/>
      <c r="S35" s="232"/>
      <c r="T35" s="232"/>
      <c r="U35" s="232"/>
      <c r="V35" s="431"/>
      <c r="W35" s="232"/>
      <c r="X35" s="232"/>
      <c r="Y35" s="232"/>
      <c r="Z35" s="431"/>
      <c r="AA35" s="232"/>
      <c r="AB35" s="232"/>
    </row>
    <row r="36" spans="1:28" ht="15" customHeight="1">
      <c r="A36" s="232">
        <v>1.778</v>
      </c>
      <c r="B36" s="232" t="s">
        <v>475</v>
      </c>
      <c r="C36" s="232" t="s">
        <v>474</v>
      </c>
      <c r="D36" s="232"/>
      <c r="E36" s="232"/>
      <c r="F36" s="232"/>
      <c r="G36" s="232"/>
      <c r="H36" s="232"/>
      <c r="I36" s="232"/>
      <c r="J36" s="431"/>
      <c r="K36" s="232"/>
      <c r="L36" s="232"/>
      <c r="M36" s="232"/>
      <c r="N36" s="431"/>
      <c r="O36" s="232"/>
      <c r="P36" s="232"/>
      <c r="Q36" s="232"/>
      <c r="R36" s="232"/>
      <c r="S36" s="232"/>
      <c r="T36" s="232"/>
      <c r="U36" s="232"/>
      <c r="V36" s="431"/>
      <c r="W36" s="232"/>
      <c r="X36" s="232"/>
      <c r="Y36" s="232"/>
      <c r="Z36" s="428"/>
      <c r="AA36" s="232"/>
      <c r="AB36" s="232"/>
    </row>
    <row r="37" spans="1:28" ht="15" customHeight="1">
      <c r="A37" s="311">
        <v>0.9</v>
      </c>
      <c r="B37" s="232" t="s">
        <v>476</v>
      </c>
      <c r="C37" s="232"/>
      <c r="D37" s="232"/>
      <c r="E37" s="232"/>
      <c r="F37" s="232"/>
      <c r="G37" s="232"/>
      <c r="H37" s="232"/>
      <c r="I37" s="232"/>
      <c r="J37" s="431"/>
      <c r="K37" s="232"/>
      <c r="L37" s="232"/>
      <c r="M37" s="232"/>
      <c r="N37" s="431"/>
      <c r="O37" s="232"/>
      <c r="P37" s="232"/>
      <c r="Q37" s="232"/>
      <c r="R37" s="232"/>
      <c r="S37" s="232"/>
      <c r="T37" s="232"/>
      <c r="U37" s="232"/>
      <c r="V37" s="431"/>
      <c r="W37" s="232"/>
      <c r="X37" s="232"/>
      <c r="Y37" s="232"/>
      <c r="Z37" s="431"/>
      <c r="AA37" s="232"/>
      <c r="AB37" s="232"/>
    </row>
    <row r="38" spans="1:28" ht="15" customHeight="1">
      <c r="A38" s="311">
        <v>0.1</v>
      </c>
      <c r="B38" s="232" t="s">
        <v>477</v>
      </c>
      <c r="C38" s="232"/>
      <c r="D38" s="232"/>
      <c r="E38" s="232"/>
      <c r="F38" s="232"/>
      <c r="G38" s="232"/>
      <c r="H38" s="232"/>
      <c r="I38" s="232"/>
      <c r="J38" s="431"/>
      <c r="K38" s="232"/>
      <c r="L38" s="232"/>
      <c r="M38" s="232"/>
      <c r="N38" s="431"/>
      <c r="O38" s="232"/>
      <c r="P38" s="232"/>
      <c r="Q38" s="232"/>
      <c r="R38" s="232"/>
      <c r="S38" s="232"/>
      <c r="T38" s="232"/>
      <c r="U38" s="232"/>
      <c r="V38" s="431"/>
      <c r="W38" s="232"/>
      <c r="X38" s="232"/>
      <c r="Y38" s="232"/>
      <c r="Z38" s="431"/>
      <c r="AA38" s="232"/>
      <c r="AB38" s="232"/>
    </row>
    <row r="39" spans="1:28" ht="15" customHeight="1">
      <c r="J39" s="433"/>
      <c r="N39" s="433"/>
      <c r="V39" s="433"/>
      <c r="Z39" s="433"/>
    </row>
    <row r="40" spans="1:28" ht="15" customHeight="1"/>
    <row r="41" spans="1:28" ht="15" customHeight="1"/>
    <row r="42" spans="1:28" ht="15" customHeight="1"/>
    <row r="43" spans="1:28" ht="15" customHeight="1"/>
    <row r="44" spans="1:28" ht="15" customHeight="1"/>
    <row r="45" spans="1:28" ht="15" customHeight="1"/>
    <row r="46" spans="1:28" ht="15" customHeight="1"/>
    <row r="47" spans="1:28" ht="15" customHeight="1"/>
    <row r="48" spans="1:28" ht="15" customHeight="1">
      <c r="B48" s="14"/>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A1:AF65"/>
  <sheetViews>
    <sheetView workbookViewId="0"/>
  </sheetViews>
  <sheetFormatPr baseColWidth="10" defaultRowHeight="13"/>
  <cols>
    <col min="1" max="1" width="15.83203125" style="16" customWidth="1"/>
    <col min="2" max="2" width="30.83203125" style="16" customWidth="1"/>
    <col min="3" max="3" width="10.83203125" style="16" customWidth="1"/>
    <col min="4" max="9" width="10.83203125" style="16"/>
    <col min="10" max="10" width="10.83203125" style="16" hidden="1" customWidth="1"/>
    <col min="11" max="13" width="10.83203125" style="16"/>
    <col min="14" max="14" width="10.83203125" style="16" hidden="1" customWidth="1"/>
    <col min="15" max="15" width="10.83203125" style="16" customWidth="1"/>
    <col min="16"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2" width="11.1640625" style="16" hidden="1" customWidth="1"/>
    <col min="33" max="16384" width="10.83203125" style="16"/>
  </cols>
  <sheetData>
    <row r="1" spans="1:32" ht="30">
      <c r="A1" s="375" t="s">
        <v>657</v>
      </c>
      <c r="B1" s="363"/>
      <c r="C1" s="492"/>
      <c r="D1" s="492"/>
      <c r="E1" s="364"/>
      <c r="F1" s="363"/>
      <c r="G1" s="363"/>
      <c r="H1" s="363"/>
      <c r="I1" s="363"/>
      <c r="J1" s="363"/>
      <c r="K1" s="363"/>
      <c r="L1" s="363"/>
      <c r="M1" s="363"/>
      <c r="N1" s="363"/>
      <c r="O1" s="363"/>
      <c r="P1" s="363"/>
      <c r="Q1" s="492"/>
      <c r="R1" s="492"/>
      <c r="S1" s="363"/>
      <c r="T1" s="363"/>
      <c r="U1" s="363"/>
      <c r="V1" s="363"/>
      <c r="W1" s="363"/>
      <c r="X1" s="363"/>
      <c r="Y1" s="363"/>
      <c r="Z1" s="363"/>
      <c r="AA1" s="363"/>
      <c r="AB1" s="363"/>
    </row>
    <row r="2" spans="1:32" ht="30">
      <c r="A2" s="362"/>
      <c r="B2" s="363"/>
      <c r="C2" s="363"/>
      <c r="D2" s="363"/>
      <c r="E2" s="364"/>
      <c r="F2" s="363"/>
      <c r="G2" s="363"/>
      <c r="H2" s="363"/>
      <c r="I2" s="363"/>
      <c r="J2" s="363"/>
      <c r="K2" s="363"/>
      <c r="L2" s="363"/>
      <c r="M2" s="363"/>
      <c r="N2" s="363"/>
      <c r="O2" s="363"/>
      <c r="P2" s="363"/>
      <c r="Q2" s="363"/>
      <c r="R2" s="363"/>
      <c r="S2" s="363"/>
      <c r="T2" s="363"/>
      <c r="U2" s="363"/>
      <c r="V2" s="363"/>
      <c r="W2" s="363"/>
      <c r="X2" s="363"/>
      <c r="Y2" s="363"/>
      <c r="Z2" s="363"/>
      <c r="AA2" s="363"/>
      <c r="AB2" s="363"/>
    </row>
    <row r="3" spans="1:32" ht="30">
      <c r="A3" s="362"/>
      <c r="B3" s="363"/>
      <c r="C3" s="363"/>
      <c r="D3" s="363"/>
      <c r="E3" s="364"/>
      <c r="F3" s="363"/>
      <c r="G3" s="363"/>
      <c r="H3" s="363"/>
      <c r="I3" s="363"/>
      <c r="J3" s="363"/>
      <c r="K3" s="363"/>
      <c r="L3" s="363"/>
      <c r="M3" s="363"/>
      <c r="N3" s="363"/>
      <c r="O3" s="363"/>
      <c r="P3" s="363"/>
      <c r="Q3" s="363"/>
      <c r="R3" s="363"/>
      <c r="S3" s="363"/>
      <c r="T3" s="363"/>
      <c r="U3" s="363"/>
      <c r="V3" s="363"/>
      <c r="W3" s="363"/>
      <c r="X3" s="363"/>
      <c r="Y3" s="363"/>
      <c r="Z3" s="363"/>
      <c r="AA3" s="363"/>
      <c r="AB3" s="363"/>
    </row>
    <row r="4" spans="1:32" ht="30">
      <c r="A4" s="362"/>
      <c r="B4" s="363"/>
      <c r="C4" s="363"/>
      <c r="D4" s="363"/>
      <c r="E4" s="364"/>
      <c r="F4" s="363"/>
      <c r="G4" s="363"/>
      <c r="H4" s="363"/>
      <c r="I4" s="363"/>
      <c r="J4" s="363"/>
      <c r="K4" s="363"/>
      <c r="L4" s="363"/>
      <c r="M4" s="363"/>
      <c r="N4" s="363"/>
      <c r="O4" s="363"/>
      <c r="P4" s="363"/>
      <c r="Q4" s="363"/>
      <c r="R4" s="363"/>
      <c r="S4" s="363"/>
      <c r="T4" s="363"/>
      <c r="U4" s="363"/>
      <c r="V4" s="363"/>
      <c r="W4" s="363"/>
      <c r="X4" s="363"/>
      <c r="Y4" s="363"/>
      <c r="Z4" s="363"/>
      <c r="AA4" s="363"/>
      <c r="AB4" s="363"/>
    </row>
    <row r="5" spans="1:32" ht="30">
      <c r="A5" s="362"/>
      <c r="B5" s="363"/>
      <c r="C5" s="363"/>
      <c r="D5" s="363"/>
      <c r="E5" s="364"/>
      <c r="F5" s="363"/>
      <c r="G5" s="363"/>
      <c r="H5" s="363"/>
      <c r="I5" s="363"/>
      <c r="J5" s="363"/>
      <c r="K5" s="363"/>
      <c r="L5" s="363"/>
      <c r="M5" s="363"/>
      <c r="N5" s="363"/>
      <c r="O5" s="363"/>
      <c r="P5" s="363"/>
      <c r="Q5" s="363"/>
      <c r="R5" s="363"/>
      <c r="S5" s="363"/>
      <c r="T5" s="363"/>
      <c r="U5" s="363"/>
      <c r="V5" s="363"/>
      <c r="W5" s="363"/>
      <c r="X5" s="363"/>
      <c r="Y5" s="363"/>
      <c r="Z5" s="363"/>
      <c r="AA5" s="363"/>
      <c r="AB5" s="363"/>
    </row>
    <row r="6" spans="1:32" ht="30">
      <c r="A6" s="362"/>
      <c r="B6" s="363"/>
      <c r="C6" s="363"/>
      <c r="D6" s="363"/>
      <c r="E6" s="364"/>
      <c r="F6" s="363"/>
      <c r="G6" s="363"/>
      <c r="H6" s="363"/>
      <c r="I6" s="363"/>
      <c r="J6" s="363"/>
      <c r="K6" s="363"/>
      <c r="L6" s="363"/>
      <c r="M6" s="363"/>
      <c r="N6" s="363"/>
      <c r="O6" s="363"/>
      <c r="P6" s="363"/>
      <c r="Q6" s="363"/>
      <c r="R6" s="363"/>
      <c r="S6" s="363"/>
      <c r="T6" s="363"/>
      <c r="U6" s="363"/>
      <c r="V6" s="363"/>
      <c r="W6" s="363"/>
      <c r="X6" s="363"/>
      <c r="Y6" s="363"/>
      <c r="Z6" s="363"/>
      <c r="AA6" s="363"/>
      <c r="AB6" s="363"/>
    </row>
    <row r="7" spans="1:32" ht="30">
      <c r="A7" s="362"/>
      <c r="B7" s="363"/>
      <c r="C7" s="363"/>
      <c r="D7" s="363"/>
      <c r="E7" s="364"/>
      <c r="F7" s="363"/>
      <c r="G7" s="363"/>
      <c r="H7" s="363"/>
      <c r="I7" s="363"/>
      <c r="J7" s="363"/>
      <c r="K7" s="363"/>
      <c r="L7" s="363"/>
      <c r="M7" s="363"/>
      <c r="N7" s="363"/>
      <c r="O7" s="363"/>
      <c r="P7" s="363"/>
      <c r="Q7" s="363"/>
      <c r="R7" s="363"/>
      <c r="S7" s="363"/>
      <c r="T7" s="363"/>
      <c r="U7" s="363"/>
      <c r="V7" s="363"/>
      <c r="W7" s="363"/>
      <c r="X7" s="363"/>
      <c r="Y7" s="363"/>
      <c r="Z7" s="363"/>
      <c r="AA7" s="363"/>
      <c r="AB7" s="363"/>
    </row>
    <row r="8" spans="1:32" ht="30">
      <c r="A8" s="362"/>
      <c r="B8" s="363"/>
      <c r="C8" s="363"/>
      <c r="D8" s="363"/>
      <c r="E8" s="364"/>
      <c r="F8" s="363"/>
      <c r="G8" s="363"/>
      <c r="H8" s="363"/>
      <c r="I8" s="363"/>
      <c r="J8" s="363"/>
      <c r="K8" s="363"/>
      <c r="L8" s="363"/>
      <c r="M8" s="363"/>
      <c r="N8" s="363"/>
      <c r="O8" s="363"/>
      <c r="P8" s="363"/>
      <c r="Q8" s="363"/>
      <c r="R8" s="363"/>
      <c r="S8" s="363"/>
      <c r="T8" s="363"/>
      <c r="U8" s="363"/>
      <c r="V8" s="363"/>
      <c r="W8" s="363"/>
      <c r="X8" s="363"/>
      <c r="Y8" s="363"/>
      <c r="Z8" s="363"/>
      <c r="AA8" s="363"/>
      <c r="AB8" s="363"/>
    </row>
    <row r="9" spans="1:32" ht="31" thickBot="1">
      <c r="A9" s="362"/>
      <c r="B9" s="363"/>
      <c r="C9" s="363"/>
      <c r="D9" s="363"/>
      <c r="E9" s="364"/>
      <c r="F9" s="363"/>
      <c r="G9" s="363"/>
      <c r="H9" s="363"/>
      <c r="I9" s="363"/>
      <c r="J9" s="363"/>
      <c r="K9" s="363"/>
      <c r="L9" s="363"/>
      <c r="M9" s="363"/>
      <c r="N9" s="363"/>
      <c r="O9" s="363"/>
      <c r="P9" s="363"/>
      <c r="Q9" s="363"/>
      <c r="R9" s="363"/>
      <c r="S9" s="363"/>
      <c r="T9" s="363"/>
      <c r="U9" s="363"/>
      <c r="V9" s="363"/>
      <c r="W9" s="363"/>
      <c r="X9" s="363"/>
      <c r="Y9" s="363"/>
      <c r="Z9" s="363"/>
      <c r="AA9" s="363"/>
      <c r="AB9" s="363"/>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34787558.180910744</v>
      </c>
      <c r="AF11" s="18">
        <f>X13*O13</f>
        <v>43779229.111563034</v>
      </c>
    </row>
    <row r="12" spans="1:32" ht="15" customHeight="1" thickBot="1">
      <c r="A12" s="268"/>
      <c r="B12" s="268" t="s">
        <v>48</v>
      </c>
      <c r="C12" s="269">
        <f>SUM(C15:C25)</f>
        <v>488441745.3404581</v>
      </c>
      <c r="D12" s="269"/>
      <c r="E12" s="269">
        <f>SUM(E15:E25)</f>
        <v>2.2774297067656319</v>
      </c>
      <c r="F12" s="270"/>
      <c r="G12" s="270"/>
      <c r="H12" s="270"/>
      <c r="I12" s="270"/>
      <c r="J12" s="270"/>
      <c r="K12" s="501"/>
      <c r="L12" s="270"/>
      <c r="M12" s="270"/>
      <c r="N12" s="270"/>
      <c r="O12" s="276">
        <f>SUM(O15:O25)</f>
        <v>615254637.52523696</v>
      </c>
      <c r="P12" s="268"/>
      <c r="Q12" s="269">
        <f>SUM(Q15:Q25)</f>
        <v>2.8687130084440664</v>
      </c>
      <c r="R12" s="270"/>
      <c r="S12" s="270"/>
      <c r="T12" s="270"/>
      <c r="U12" s="270"/>
      <c r="V12" s="270"/>
      <c r="W12" s="501"/>
      <c r="X12" s="270"/>
      <c r="Y12" s="270"/>
      <c r="Z12" s="270"/>
      <c r="AA12" s="235"/>
      <c r="AB12" s="236"/>
      <c r="AD12" s="16" t="s">
        <v>887</v>
      </c>
      <c r="AE12" s="18">
        <f>K13*C13</f>
        <v>460088305.55041701</v>
      </c>
      <c r="AF12" s="18">
        <f>W13*O13</f>
        <v>577909526.80454385</v>
      </c>
    </row>
    <row r="13" spans="1:32" ht="15" customHeight="1" thickTop="1" thickBot="1">
      <c r="A13" s="271"/>
      <c r="B13" s="271" t="s">
        <v>870</v>
      </c>
      <c r="C13" s="272">
        <f>SUM(C15:C22)</f>
        <v>494875863.73132777</v>
      </c>
      <c r="D13" s="272"/>
      <c r="E13" s="272">
        <f>SUM(E15:E22)</f>
        <v>2.3074297067656317</v>
      </c>
      <c r="F13" s="282">
        <f>SUMPRODUCT(F15:F22,$C$15:$C$22)/SUM($C$15:$C$22)</f>
        <v>1</v>
      </c>
      <c r="G13" s="282">
        <f>SUMPRODUCT(G15:G22,$C$15:$C$22)/SUM($C$15:$C$22)</f>
        <v>0</v>
      </c>
      <c r="H13" s="282">
        <f>SUMPRODUCT(H15:H22,$C$15:$C$22)/SUM($C$15:$C$22)</f>
        <v>0</v>
      </c>
      <c r="I13" s="282">
        <f>SUMPRODUCT(I15:I22,$C$15:$C$22)/SUM($C$15:$C$22)</f>
        <v>0</v>
      </c>
      <c r="J13" s="430">
        <f>SUM(F13:I13)</f>
        <v>1</v>
      </c>
      <c r="K13" s="393">
        <f>SUMPRODUCT(K15:K22,$C$15:$C$22)/SUM($C$15:$C$22)</f>
        <v>0.92970447594955408</v>
      </c>
      <c r="L13" s="282">
        <f>SUMPRODUCT(L15:L22,$C$15:$C$22)/SUM($C$15:$C$22)</f>
        <v>7.0295524050445909E-2</v>
      </c>
      <c r="M13" s="282">
        <f>SUMPRODUCT(M15:M22,$C$15:$C$22)/SUM($C$15:$C$22)</f>
        <v>0</v>
      </c>
      <c r="N13" s="430">
        <f>SUM(K13:M13)</f>
        <v>1</v>
      </c>
      <c r="O13" s="277">
        <f>SUM(O15:O22)</f>
        <v>621688755.9161067</v>
      </c>
      <c r="P13" s="271"/>
      <c r="Q13" s="272">
        <f>SUM(Q15:Q22)</f>
        <v>2.8987130084440662</v>
      </c>
      <c r="R13" s="282">
        <f>SUMPRODUCT(R15:R22,$O$15:$O$22)/SUM($O$15:$O$22)</f>
        <v>1</v>
      </c>
      <c r="S13" s="282">
        <f>SUMPRODUCT(S15:S22,$O$15:$O$22)/SUM($O$15:$O$22)</f>
        <v>0</v>
      </c>
      <c r="T13" s="282">
        <f>SUMPRODUCT(T15:T22,$O$15:$O$22)/SUM($O$15:$O$22)</f>
        <v>0</v>
      </c>
      <c r="U13" s="282">
        <f>SUMPRODUCT(U15:U22,$O$15:$O$22)/SUM($O$15:$O$22)</f>
        <v>0</v>
      </c>
      <c r="V13" s="430">
        <f>SUM(R13:U13)</f>
        <v>1</v>
      </c>
      <c r="W13" s="393">
        <f>SUMPRODUCT(W15:W22,$O$15:$O$22)/SUM($O$15:$O$22)</f>
        <v>0.9295801497213011</v>
      </c>
      <c r="X13" s="282">
        <f>SUMPRODUCT(X15:X22,$O$15:$O$22)/SUM($O$15:$O$22)</f>
        <v>7.041985027869925E-2</v>
      </c>
      <c r="Y13" s="282">
        <f>SUMPRODUCT(Y15:Y22,$O$15:$O$22)/SUM($O$15:$O$22)</f>
        <v>0</v>
      </c>
      <c r="Z13" s="430">
        <f>SUM(W13:Y13)</f>
        <v>1.0000000000000004</v>
      </c>
      <c r="AA13" s="702"/>
      <c r="AB13" s="703"/>
      <c r="AD13" s="16" t="s">
        <v>888</v>
      </c>
      <c r="AE13" s="18">
        <f>M13*C13</f>
        <v>0</v>
      </c>
      <c r="AF13" s="18">
        <f>Y13*O13</f>
        <v>0</v>
      </c>
    </row>
    <row r="14" spans="1:32" ht="15" customHeight="1" thickTop="1" thickBot="1">
      <c r="A14" s="224" t="s">
        <v>591</v>
      </c>
      <c r="B14" s="232"/>
      <c r="C14" s="232"/>
      <c r="D14" s="232"/>
      <c r="E14" s="232"/>
      <c r="F14" s="520"/>
      <c r="G14" s="244"/>
      <c r="H14" s="244"/>
      <c r="I14" s="244"/>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32"/>
      <c r="B15" s="232" t="s">
        <v>441</v>
      </c>
      <c r="C15" s="243">
        <v>332717106.3245188</v>
      </c>
      <c r="D15" s="243">
        <f>C15/AA15</f>
        <v>3.8548193534875823</v>
      </c>
      <c r="E15" s="243">
        <f>C15/AB15</f>
        <v>1.5513412379697231</v>
      </c>
      <c r="F15" s="240">
        <v>1</v>
      </c>
      <c r="G15" s="240"/>
      <c r="H15" s="240"/>
      <c r="I15" s="240"/>
      <c r="J15" s="430">
        <f t="shared" ref="J15:J22" si="0">SUM(F15:I15)</f>
        <v>1</v>
      </c>
      <c r="K15" s="519">
        <v>0.92</v>
      </c>
      <c r="L15" s="496">
        <v>0.08</v>
      </c>
      <c r="M15" s="240"/>
      <c r="N15" s="430">
        <f>SUM(K15:M15)</f>
        <v>1</v>
      </c>
      <c r="O15" s="677">
        <v>420854088.13233835</v>
      </c>
      <c r="P15" s="243">
        <f>O15/AA15</f>
        <v>4.8759635530869421</v>
      </c>
      <c r="Q15" s="243">
        <f>O15/AB15</f>
        <v>1.9622925592862062</v>
      </c>
      <c r="R15" s="240">
        <v>1</v>
      </c>
      <c r="S15" s="240"/>
      <c r="T15" s="240"/>
      <c r="U15" s="240"/>
      <c r="V15" s="430">
        <f t="shared" ref="V15:V22" si="1">SUM(R15:U15)</f>
        <v>1</v>
      </c>
      <c r="W15" s="519">
        <v>0.92</v>
      </c>
      <c r="X15" s="496">
        <v>0.08</v>
      </c>
      <c r="Y15" s="240"/>
      <c r="Z15" s="430">
        <f>SUM(W15:Y15)</f>
        <v>1</v>
      </c>
      <c r="AA15" s="706">
        <f>(A45/A39)/gal.per.bbl*A29</f>
        <v>86311983.990507528</v>
      </c>
      <c r="AB15" s="707">
        <f>'Energy data by fuel cycle'!$C$134</f>
        <v>214470613.02899</v>
      </c>
      <c r="AD15" s="16" t="s">
        <v>267</v>
      </c>
      <c r="AE15" s="18">
        <f>F13*C13</f>
        <v>494875863.73132777</v>
      </c>
      <c r="AF15" s="18">
        <f>R13*O13</f>
        <v>621688755.9161067</v>
      </c>
    </row>
    <row r="16" spans="1:32" ht="15" customHeight="1" thickTop="1" thickBot="1">
      <c r="A16" s="223"/>
      <c r="B16" s="232" t="s">
        <v>442</v>
      </c>
      <c r="C16" s="243">
        <v>160083697.25318265</v>
      </c>
      <c r="D16" s="243">
        <f>C16/AA16</f>
        <v>8.8368803414994197</v>
      </c>
      <c r="E16" s="243">
        <f>C16/AB16</f>
        <v>0.74641320315312443</v>
      </c>
      <c r="F16" s="240">
        <v>1</v>
      </c>
      <c r="G16" s="240"/>
      <c r="H16" s="240"/>
      <c r="I16" s="240"/>
      <c r="J16" s="430">
        <f t="shared" si="0"/>
        <v>1</v>
      </c>
      <c r="K16" s="511">
        <f>Ethanol!K15</f>
        <v>0.95</v>
      </c>
      <c r="L16" s="347">
        <f>Ethanol!L15</f>
        <v>0.05</v>
      </c>
      <c r="M16" s="240"/>
      <c r="N16" s="430">
        <f>SUM(K16:M16)</f>
        <v>1</v>
      </c>
      <c r="O16" s="677">
        <v>198529045.39085031</v>
      </c>
      <c r="P16" s="243">
        <f>O16/AA16</f>
        <v>10.959126060515647</v>
      </c>
      <c r="Q16" s="243">
        <f>O16/AB16</f>
        <v>0.92567015399921071</v>
      </c>
      <c r="R16" s="240">
        <v>1</v>
      </c>
      <c r="S16" s="240"/>
      <c r="T16" s="240"/>
      <c r="U16" s="240"/>
      <c r="V16" s="430">
        <f t="shared" si="1"/>
        <v>1</v>
      </c>
      <c r="W16" s="511">
        <f>Ethanol!W15</f>
        <v>0.95</v>
      </c>
      <c r="X16" s="347">
        <f>Ethanol!X15</f>
        <v>0.05</v>
      </c>
      <c r="Y16" s="240"/>
      <c r="Z16" s="430">
        <f>SUM(W16:Y16)</f>
        <v>1</v>
      </c>
      <c r="AA16" s="706">
        <f>(A46/A35)/gal.per.bbl*A29</f>
        <v>18115408.500147242</v>
      </c>
      <c r="AB16" s="707">
        <f>'Energy data by fuel cycle'!$C$134</f>
        <v>214470613.02899</v>
      </c>
      <c r="AD16" s="16" t="s">
        <v>654</v>
      </c>
      <c r="AE16" s="18">
        <f>G13*C13</f>
        <v>0</v>
      </c>
      <c r="AF16" s="18">
        <f>S13*O13</f>
        <v>0</v>
      </c>
    </row>
    <row r="17" spans="1:32" ht="15" customHeight="1" thickTop="1">
      <c r="A17" s="232"/>
      <c r="B17" s="232"/>
      <c r="C17" s="232"/>
      <c r="D17" s="232"/>
      <c r="E17" s="232"/>
      <c r="F17" s="240"/>
      <c r="G17" s="240"/>
      <c r="H17" s="240"/>
      <c r="I17" s="240"/>
      <c r="J17" s="425"/>
      <c r="K17" s="299"/>
      <c r="L17" s="300"/>
      <c r="M17" s="240"/>
      <c r="N17" s="425"/>
      <c r="O17" s="680"/>
      <c r="P17" s="232"/>
      <c r="Q17" s="232"/>
      <c r="R17" s="240"/>
      <c r="S17" s="240"/>
      <c r="T17" s="240"/>
      <c r="U17" s="240"/>
      <c r="V17" s="425"/>
      <c r="W17" s="299"/>
      <c r="X17" s="300"/>
      <c r="Y17" s="240"/>
      <c r="Z17" s="425"/>
      <c r="AA17" s="706"/>
      <c r="AB17" s="707"/>
      <c r="AD17" s="16" t="s">
        <v>889</v>
      </c>
      <c r="AE17" s="18">
        <f>H13*C13</f>
        <v>0</v>
      </c>
      <c r="AF17" s="18">
        <f>T13*O13</f>
        <v>0</v>
      </c>
    </row>
    <row r="18" spans="1:32" ht="15" customHeight="1" thickBot="1">
      <c r="A18" s="221" t="s">
        <v>66</v>
      </c>
      <c r="B18" s="232"/>
      <c r="C18" s="284"/>
      <c r="D18" s="232"/>
      <c r="E18" s="232"/>
      <c r="F18" s="240"/>
      <c r="G18" s="240"/>
      <c r="H18" s="240"/>
      <c r="I18" s="240"/>
      <c r="J18" s="425"/>
      <c r="K18" s="299"/>
      <c r="L18" s="300"/>
      <c r="M18" s="240"/>
      <c r="N18" s="425"/>
      <c r="O18" s="679"/>
      <c r="P18" s="232"/>
      <c r="Q18" s="232"/>
      <c r="R18" s="240"/>
      <c r="S18" s="240"/>
      <c r="T18" s="240"/>
      <c r="U18" s="240"/>
      <c r="V18" s="425"/>
      <c r="W18" s="299"/>
      <c r="X18" s="300"/>
      <c r="Y18" s="240"/>
      <c r="Z18" s="425"/>
      <c r="AA18" s="706"/>
      <c r="AB18" s="707"/>
      <c r="AD18" s="16" t="s">
        <v>890</v>
      </c>
      <c r="AE18" s="18">
        <f>I13*C13</f>
        <v>0</v>
      </c>
      <c r="AF18" s="18">
        <f>U13*O13</f>
        <v>0</v>
      </c>
    </row>
    <row r="19" spans="1:32" ht="15" customHeight="1" thickTop="1" thickBot="1">
      <c r="A19" s="245"/>
      <c r="B19" s="232" t="s">
        <v>443</v>
      </c>
      <c r="C19" s="243">
        <v>583570.75952631584</v>
      </c>
      <c r="D19" s="243">
        <f>C19/AA19</f>
        <v>4.5666180206326758E-3</v>
      </c>
      <c r="E19" s="243">
        <f>C19/AB19</f>
        <v>2.7209823820825026E-3</v>
      </c>
      <c r="F19" s="240">
        <v>1</v>
      </c>
      <c r="G19" s="240"/>
      <c r="H19" s="240"/>
      <c r="I19" s="240"/>
      <c r="J19" s="430">
        <f t="shared" si="0"/>
        <v>1</v>
      </c>
      <c r="K19" s="511">
        <f>K15</f>
        <v>0.92</v>
      </c>
      <c r="L19" s="347">
        <f>L15</f>
        <v>0.08</v>
      </c>
      <c r="M19" s="240"/>
      <c r="N19" s="430">
        <f>SUM(K19:M19)</f>
        <v>1</v>
      </c>
      <c r="O19" s="677">
        <f>C19/$A$42</f>
        <v>648411.95502923976</v>
      </c>
      <c r="P19" s="243">
        <f>O19/AA19</f>
        <v>5.074020022925195E-3</v>
      </c>
      <c r="Q19" s="243">
        <f>O19/AB19</f>
        <v>3.023313757869447E-3</v>
      </c>
      <c r="R19" s="240">
        <v>1</v>
      </c>
      <c r="S19" s="240"/>
      <c r="T19" s="240"/>
      <c r="U19" s="240"/>
      <c r="V19" s="430">
        <f t="shared" si="1"/>
        <v>1</v>
      </c>
      <c r="W19" s="511">
        <f>W15</f>
        <v>0.92</v>
      </c>
      <c r="X19" s="347">
        <f>X15</f>
        <v>0.08</v>
      </c>
      <c r="Y19" s="240"/>
      <c r="Z19" s="430">
        <f>SUM(W19:Y19)</f>
        <v>1</v>
      </c>
      <c r="AA19" s="706">
        <f>(A47/A35)/gal.per.bbl*A29</f>
        <v>127790578.69295269</v>
      </c>
      <c r="AB19" s="707">
        <f>'Energy data by fuel cycle'!$C$134</f>
        <v>214470613.02899</v>
      </c>
    </row>
    <row r="20" spans="1:32" ht="15" customHeight="1" thickTop="1">
      <c r="A20" s="232"/>
      <c r="B20" s="232"/>
      <c r="C20" s="232"/>
      <c r="D20" s="232"/>
      <c r="E20" s="232"/>
      <c r="F20" s="232"/>
      <c r="G20" s="240"/>
      <c r="H20" s="240"/>
      <c r="I20" s="240"/>
      <c r="J20" s="425"/>
      <c r="K20" s="299"/>
      <c r="L20" s="300"/>
      <c r="M20" s="240"/>
      <c r="N20" s="425"/>
      <c r="O20" s="680"/>
      <c r="P20" s="232"/>
      <c r="Q20" s="232"/>
      <c r="R20" s="240"/>
      <c r="S20" s="240"/>
      <c r="T20" s="240"/>
      <c r="U20" s="240"/>
      <c r="V20" s="425"/>
      <c r="W20" s="299"/>
      <c r="X20" s="300"/>
      <c r="Y20" s="240"/>
      <c r="Z20" s="425"/>
      <c r="AA20" s="706"/>
      <c r="AB20" s="707"/>
      <c r="AD20" s="16" t="s">
        <v>614</v>
      </c>
      <c r="AE20" s="419">
        <f>SUM(C15:C16)</f>
        <v>492800803.57770145</v>
      </c>
      <c r="AF20" s="419">
        <f>SUM(O15:O16)</f>
        <v>619383133.52318859</v>
      </c>
    </row>
    <row r="21" spans="1:32" ht="15" customHeight="1" thickBot="1">
      <c r="A21" s="222" t="s">
        <v>68</v>
      </c>
      <c r="B21" s="232"/>
      <c r="C21" s="232"/>
      <c r="D21" s="232"/>
      <c r="E21" s="232"/>
      <c r="F21" s="240"/>
      <c r="G21" s="240"/>
      <c r="H21" s="240"/>
      <c r="I21" s="240"/>
      <c r="J21" s="425"/>
      <c r="K21" s="299"/>
      <c r="L21" s="300"/>
      <c r="M21" s="240"/>
      <c r="N21" s="425"/>
      <c r="O21" s="680"/>
      <c r="P21" s="232"/>
      <c r="Q21" s="232"/>
      <c r="R21" s="240"/>
      <c r="S21" s="240"/>
      <c r="T21" s="240"/>
      <c r="U21" s="240"/>
      <c r="V21" s="425"/>
      <c r="W21" s="299"/>
      <c r="X21" s="300"/>
      <c r="Y21" s="240"/>
      <c r="Z21" s="425"/>
      <c r="AA21" s="706"/>
      <c r="AB21" s="707"/>
      <c r="AD21" s="16" t="s">
        <v>82</v>
      </c>
      <c r="AE21" s="419">
        <f>SUM(C19)</f>
        <v>583570.75952631584</v>
      </c>
      <c r="AF21" s="419">
        <f>O19</f>
        <v>648411.95502923976</v>
      </c>
    </row>
    <row r="22" spans="1:32" ht="15" customHeight="1" thickTop="1" thickBot="1">
      <c r="A22" s="232"/>
      <c r="B22" s="232" t="s">
        <v>445</v>
      </c>
      <c r="C22" s="243">
        <v>1491489.3940999999</v>
      </c>
      <c r="D22" s="243">
        <f>C22/AA22</f>
        <v>8.7102315767712667E-3</v>
      </c>
      <c r="E22" s="243">
        <f>C22/AB22</f>
        <v>6.9542832607019933E-3</v>
      </c>
      <c r="F22" s="240">
        <v>1</v>
      </c>
      <c r="G22" s="240"/>
      <c r="H22" s="240"/>
      <c r="I22" s="240"/>
      <c r="J22" s="430">
        <f t="shared" si="0"/>
        <v>1</v>
      </c>
      <c r="K22" s="511">
        <f>K15</f>
        <v>0.92</v>
      </c>
      <c r="L22" s="347">
        <f>L15</f>
        <v>0.08</v>
      </c>
      <c r="M22" s="240"/>
      <c r="N22" s="430">
        <f>SUM(K22:M22)</f>
        <v>1</v>
      </c>
      <c r="O22" s="677">
        <f>C22/$A$42</f>
        <v>1657210.4378888886</v>
      </c>
      <c r="P22" s="243">
        <f>O22/AA22</f>
        <v>9.6780350853014063E-3</v>
      </c>
      <c r="Q22" s="243">
        <f>O22/AB22</f>
        <v>7.7269814007799916E-3</v>
      </c>
      <c r="R22" s="240">
        <v>1</v>
      </c>
      <c r="S22" s="240"/>
      <c r="T22" s="240"/>
      <c r="U22" s="240"/>
      <c r="V22" s="430">
        <f t="shared" si="1"/>
        <v>1</v>
      </c>
      <c r="W22" s="511">
        <f>W15</f>
        <v>0.92</v>
      </c>
      <c r="X22" s="347">
        <f>X15</f>
        <v>0.08</v>
      </c>
      <c r="Y22" s="240"/>
      <c r="Z22" s="430">
        <f>SUM(W22:Y22)</f>
        <v>1</v>
      </c>
      <c r="AA22" s="706">
        <f>(A48/A35)/gal.per.bbl*A29</f>
        <v>171234183.72452381</v>
      </c>
      <c r="AB22" s="707">
        <f>'Energy data by fuel cycle'!$C$134</f>
        <v>214470613.02899</v>
      </c>
      <c r="AD22" s="16" t="s">
        <v>891</v>
      </c>
    </row>
    <row r="23" spans="1:32" ht="15" customHeight="1" thickTop="1">
      <c r="A23" s="232"/>
      <c r="B23" s="232"/>
      <c r="C23" s="232"/>
      <c r="D23" s="232"/>
      <c r="E23" s="232"/>
      <c r="F23" s="232"/>
      <c r="G23" s="232"/>
      <c r="H23" s="232"/>
      <c r="I23" s="232"/>
      <c r="J23" s="431"/>
      <c r="K23" s="301"/>
      <c r="L23" s="244"/>
      <c r="M23" s="232"/>
      <c r="N23" s="431"/>
      <c r="O23" s="680"/>
      <c r="P23" s="232"/>
      <c r="Q23" s="232"/>
      <c r="R23" s="232"/>
      <c r="S23" s="232"/>
      <c r="T23" s="232"/>
      <c r="U23" s="232"/>
      <c r="V23" s="431"/>
      <c r="W23" s="301"/>
      <c r="X23" s="244"/>
      <c r="Y23" s="232"/>
      <c r="Z23" s="431"/>
      <c r="AA23" s="301"/>
      <c r="AB23" s="708"/>
      <c r="AD23" s="16" t="s">
        <v>892</v>
      </c>
      <c r="AE23" s="419">
        <f>C22</f>
        <v>1491489.3940999999</v>
      </c>
      <c r="AF23" s="419">
        <f>O22</f>
        <v>1657210.4378888886</v>
      </c>
    </row>
    <row r="24" spans="1:32" ht="15" customHeight="1" thickBot="1">
      <c r="A24" s="257" t="s">
        <v>413</v>
      </c>
      <c r="B24" s="232"/>
      <c r="C24" s="232"/>
      <c r="D24" s="232"/>
      <c r="E24" s="232"/>
      <c r="F24" s="232"/>
      <c r="G24" s="232"/>
      <c r="H24" s="232"/>
      <c r="I24" s="232"/>
      <c r="J24" s="431"/>
      <c r="K24" s="301"/>
      <c r="L24" s="244"/>
      <c r="M24" s="232"/>
      <c r="N24" s="431"/>
      <c r="O24" s="680"/>
      <c r="P24" s="232"/>
      <c r="Q24" s="232"/>
      <c r="R24" s="232"/>
      <c r="S24" s="232"/>
      <c r="T24" s="232"/>
      <c r="U24" s="232"/>
      <c r="V24" s="431"/>
      <c r="W24" s="301"/>
      <c r="X24" s="244"/>
      <c r="Y24" s="232"/>
      <c r="Z24" s="431"/>
      <c r="AA24" s="301"/>
      <c r="AB24" s="708"/>
      <c r="AD24" s="16" t="s">
        <v>893</v>
      </c>
    </row>
    <row r="25" spans="1:32" ht="15" customHeight="1" thickTop="1" thickBot="1">
      <c r="A25" s="232"/>
      <c r="B25" s="232" t="s">
        <v>447</v>
      </c>
      <c r="C25" s="243">
        <f>D25*AA25</f>
        <v>-6434118.3908696994</v>
      </c>
      <c r="D25" s="243">
        <v>-0.03</v>
      </c>
      <c r="E25" s="243">
        <f>C25/AB25</f>
        <v>-0.03</v>
      </c>
      <c r="F25" s="240">
        <v>1</v>
      </c>
      <c r="G25" s="240"/>
      <c r="H25" s="240"/>
      <c r="I25" s="240"/>
      <c r="J25" s="430">
        <f>SUM(F25:I25)</f>
        <v>1</v>
      </c>
      <c r="K25" s="299"/>
      <c r="L25" s="300">
        <v>1</v>
      </c>
      <c r="M25" s="240"/>
      <c r="N25" s="430">
        <f>SUM(K25:M25)</f>
        <v>1</v>
      </c>
      <c r="O25" s="677">
        <f>AA25*P25</f>
        <v>-6434118.3908696994</v>
      </c>
      <c r="P25" s="243">
        <f>D25</f>
        <v>-0.03</v>
      </c>
      <c r="Q25" s="243">
        <f>O25/AB25</f>
        <v>-0.03</v>
      </c>
      <c r="R25" s="240">
        <v>1</v>
      </c>
      <c r="S25" s="240"/>
      <c r="T25" s="240"/>
      <c r="U25" s="240"/>
      <c r="V25" s="430">
        <f>SUM(R25:U25)</f>
        <v>1</v>
      </c>
      <c r="W25" s="299"/>
      <c r="X25" s="300">
        <v>1</v>
      </c>
      <c r="Y25" s="240"/>
      <c r="Z25" s="430">
        <f>SUM(W25:Y25)</f>
        <v>1</v>
      </c>
      <c r="AA25" s="709">
        <f>'Energy data by fuel cycle'!$C$134</f>
        <v>214470613.02899</v>
      </c>
      <c r="AB25" s="710">
        <f>'Energy data by fuel cycle'!$C$134</f>
        <v>214470613.02899</v>
      </c>
    </row>
    <row r="26" spans="1:32" ht="15" customHeight="1" thickTop="1">
      <c r="A26" s="232"/>
      <c r="B26" s="232"/>
      <c r="C26" s="232"/>
      <c r="D26" s="232"/>
      <c r="E26" s="232"/>
      <c r="F26" s="232"/>
      <c r="G26" s="232"/>
      <c r="H26" s="232"/>
      <c r="I26" s="232"/>
      <c r="J26" s="431"/>
      <c r="K26" s="244"/>
      <c r="L26" s="244"/>
      <c r="M26" s="232"/>
      <c r="N26" s="431"/>
      <c r="O26" s="232"/>
      <c r="P26" s="232"/>
      <c r="Q26" s="232"/>
      <c r="R26" s="232"/>
      <c r="S26" s="232"/>
      <c r="T26" s="232"/>
      <c r="U26" s="232"/>
      <c r="V26" s="431"/>
      <c r="W26" s="244"/>
      <c r="X26" s="244"/>
      <c r="Y26" s="232"/>
      <c r="Z26" s="431"/>
      <c r="AA26" s="232"/>
      <c r="AB26" s="232"/>
    </row>
    <row r="27" spans="1:32" ht="15" customHeight="1">
      <c r="A27" s="251" t="s">
        <v>414</v>
      </c>
      <c r="B27" s="232"/>
      <c r="C27" s="232"/>
      <c r="D27" s="232"/>
      <c r="E27" s="232"/>
      <c r="F27" s="232"/>
      <c r="G27" s="232"/>
      <c r="H27" s="232"/>
      <c r="I27" s="232"/>
      <c r="J27" s="431"/>
      <c r="K27" s="244"/>
      <c r="L27" s="244"/>
      <c r="M27" s="232"/>
      <c r="N27" s="431"/>
      <c r="O27" s="232"/>
      <c r="P27" s="232"/>
      <c r="Q27" s="232"/>
      <c r="R27" s="232"/>
      <c r="S27" s="232"/>
      <c r="T27" s="232"/>
      <c r="U27" s="232"/>
      <c r="V27" s="431"/>
      <c r="W27" s="244"/>
      <c r="X27" s="244"/>
      <c r="Y27" s="232"/>
      <c r="Z27" s="431"/>
      <c r="AA27" s="232"/>
      <c r="AB27" s="232"/>
    </row>
    <row r="28" spans="1:32" ht="15" customHeight="1">
      <c r="A28" s="232" t="s">
        <v>415</v>
      </c>
      <c r="B28" s="232"/>
      <c r="C28" s="232"/>
      <c r="D28" s="246"/>
      <c r="E28" s="232"/>
      <c r="F28" s="232"/>
      <c r="G28" s="232"/>
      <c r="H28" s="232"/>
      <c r="I28" s="232"/>
      <c r="J28" s="431"/>
      <c r="K28" s="244"/>
      <c r="L28" s="244"/>
      <c r="M28" s="232"/>
      <c r="N28" s="431"/>
      <c r="O28" s="232"/>
      <c r="P28" s="232"/>
      <c r="Q28" s="232"/>
      <c r="R28" s="232"/>
      <c r="S28" s="232"/>
      <c r="T28" s="232"/>
      <c r="U28" s="232"/>
      <c r="V28" s="431"/>
      <c r="W28" s="244"/>
      <c r="X28" s="244"/>
      <c r="Y28" s="232"/>
      <c r="Z28" s="431"/>
      <c r="AA28" s="232"/>
      <c r="AB28" s="232"/>
    </row>
    <row r="29" spans="1:32" ht="15" customHeight="1">
      <c r="A29" s="253">
        <f>5.359*GJ.per.mmbtu</f>
        <v>5.6584073300000002</v>
      </c>
      <c r="B29" s="232" t="s">
        <v>457</v>
      </c>
      <c r="C29" s="232" t="s">
        <v>206</v>
      </c>
      <c r="D29" s="232"/>
      <c r="E29" s="232"/>
      <c r="F29" s="232"/>
      <c r="G29" s="232"/>
      <c r="H29" s="232"/>
      <c r="I29" s="232"/>
      <c r="J29" s="431"/>
      <c r="K29" s="244"/>
      <c r="L29" s="244"/>
      <c r="M29" s="232"/>
      <c r="N29" s="431"/>
      <c r="O29" s="232"/>
      <c r="P29" s="232"/>
      <c r="Q29" s="232"/>
      <c r="R29" s="232"/>
      <c r="S29" s="232"/>
      <c r="T29" s="232"/>
      <c r="U29" s="232"/>
      <c r="V29" s="431"/>
      <c r="W29" s="244"/>
      <c r="X29" s="244"/>
      <c r="Y29" s="232"/>
      <c r="Z29" s="431"/>
      <c r="AA29" s="232"/>
      <c r="AB29" s="232"/>
    </row>
    <row r="30" spans="1:32" ht="15" customHeight="1">
      <c r="A30" s="232">
        <v>8.8999999999999996E-2</v>
      </c>
      <c r="B30" s="232" t="s">
        <v>458</v>
      </c>
      <c r="C30" s="232"/>
      <c r="D30" s="232"/>
      <c r="E30" s="232"/>
      <c r="F30" s="232"/>
      <c r="G30" s="232"/>
      <c r="H30" s="232"/>
      <c r="I30" s="232"/>
      <c r="J30" s="431"/>
      <c r="K30" s="244"/>
      <c r="L30" s="244"/>
      <c r="M30" s="232"/>
      <c r="N30" s="431"/>
      <c r="O30" s="232"/>
      <c r="P30" s="232"/>
      <c r="Q30" s="232"/>
      <c r="R30" s="232"/>
      <c r="S30" s="232"/>
      <c r="T30" s="232"/>
      <c r="U30" s="232"/>
      <c r="V30" s="431"/>
      <c r="W30" s="244"/>
      <c r="X30" s="244"/>
      <c r="Y30" s="232"/>
      <c r="Z30" s="431"/>
      <c r="AA30" s="232"/>
      <c r="AB30" s="232"/>
    </row>
    <row r="31" spans="1:32" ht="15" customHeight="1">
      <c r="A31" s="345">
        <v>137.19428571428571</v>
      </c>
      <c r="B31" s="232" t="s">
        <v>459</v>
      </c>
      <c r="C31" s="232"/>
      <c r="D31" s="232"/>
      <c r="E31" s="232"/>
      <c r="F31" s="232"/>
      <c r="G31" s="232"/>
      <c r="H31" s="232"/>
      <c r="I31" s="232"/>
      <c r="J31" s="431"/>
      <c r="K31" s="244"/>
      <c r="L31" s="244"/>
      <c r="M31" s="232"/>
      <c r="N31" s="431"/>
      <c r="O31" s="232"/>
      <c r="P31" s="232"/>
      <c r="Q31" s="232"/>
      <c r="R31" s="232"/>
      <c r="S31" s="232"/>
      <c r="T31" s="232"/>
      <c r="U31" s="232"/>
      <c r="V31" s="431"/>
      <c r="W31" s="244"/>
      <c r="X31" s="244"/>
      <c r="Y31" s="232"/>
      <c r="Z31" s="431"/>
      <c r="AA31" s="232"/>
      <c r="AB31" s="232"/>
    </row>
    <row r="32" spans="1:32" ht="15" customHeight="1">
      <c r="A32" s="345">
        <v>173.53714285714287</v>
      </c>
      <c r="B32" s="232" t="s">
        <v>460</v>
      </c>
      <c r="C32" s="232"/>
      <c r="D32" s="232"/>
      <c r="E32" s="232"/>
      <c r="F32" s="232"/>
      <c r="G32" s="232"/>
      <c r="H32" s="232"/>
      <c r="I32" s="232"/>
      <c r="J32" s="431"/>
      <c r="K32" s="244"/>
      <c r="L32" s="232"/>
      <c r="M32" s="232"/>
      <c r="N32" s="431"/>
      <c r="O32" s="232"/>
      <c r="P32" s="232"/>
      <c r="Q32" s="232"/>
      <c r="R32" s="232"/>
      <c r="S32" s="232"/>
      <c r="T32" s="232"/>
      <c r="U32" s="232"/>
      <c r="V32" s="431"/>
      <c r="W32" s="232"/>
      <c r="X32" s="232"/>
      <c r="Y32" s="232"/>
      <c r="Z32" s="431"/>
      <c r="AA32" s="232"/>
      <c r="AB32" s="232"/>
    </row>
    <row r="33" spans="1:30" ht="15" customHeight="1">
      <c r="A33" s="345">
        <v>43.285218815607507</v>
      </c>
      <c r="B33" s="232" t="s">
        <v>461</v>
      </c>
      <c r="C33" s="232"/>
      <c r="D33" s="232"/>
      <c r="E33" s="232"/>
      <c r="F33" s="232"/>
      <c r="G33" s="232"/>
      <c r="H33" s="232"/>
      <c r="I33" s="232"/>
      <c r="J33" s="431"/>
      <c r="K33" s="232"/>
      <c r="L33" s="232"/>
      <c r="M33" s="232"/>
      <c r="N33" s="431"/>
      <c r="O33" s="232"/>
      <c r="P33" s="232"/>
      <c r="Q33" s="232"/>
      <c r="R33" s="232"/>
      <c r="S33" s="232"/>
      <c r="T33" s="232"/>
      <c r="U33" s="232"/>
      <c r="V33" s="431"/>
      <c r="W33" s="232"/>
      <c r="X33" s="232"/>
      <c r="Y33" s="232"/>
      <c r="Z33" s="431"/>
      <c r="AA33" s="232"/>
      <c r="AB33" s="232"/>
    </row>
    <row r="34" spans="1:30" ht="15" customHeight="1">
      <c r="A34" s="345">
        <v>53.680501627880687</v>
      </c>
      <c r="B34" s="232" t="s">
        <v>462</v>
      </c>
      <c r="C34" s="232"/>
      <c r="D34" s="232"/>
      <c r="E34" s="232"/>
      <c r="F34" s="232"/>
      <c r="G34" s="232"/>
      <c r="H34" s="232"/>
      <c r="I34" s="232"/>
      <c r="J34" s="431"/>
      <c r="K34" s="232"/>
      <c r="L34" s="232"/>
      <c r="M34" s="232"/>
      <c r="N34" s="431"/>
      <c r="O34" s="232"/>
      <c r="P34" s="232"/>
      <c r="Q34" s="232"/>
      <c r="R34" s="232"/>
      <c r="S34" s="232"/>
      <c r="T34" s="232"/>
      <c r="U34" s="232"/>
      <c r="V34" s="232"/>
      <c r="W34" s="232"/>
      <c r="X34" s="232"/>
      <c r="Y34" s="232"/>
      <c r="Z34" s="232"/>
      <c r="AA34" s="232"/>
      <c r="AB34" s="232"/>
    </row>
    <row r="35" spans="1:30" ht="15" customHeight="1">
      <c r="A35" s="253">
        <f>A48/(A44*10^6)</f>
        <v>7.265932336742722</v>
      </c>
      <c r="B35" s="232" t="s">
        <v>463</v>
      </c>
      <c r="C35" s="232"/>
      <c r="D35" s="232"/>
      <c r="E35" s="232"/>
      <c r="F35" s="232"/>
      <c r="G35" s="232"/>
      <c r="H35" s="232"/>
      <c r="I35" s="232"/>
      <c r="J35" s="431"/>
      <c r="K35" s="232"/>
      <c r="L35" s="232"/>
      <c r="M35" s="232"/>
      <c r="N35" s="431"/>
      <c r="O35" s="232"/>
      <c r="P35" s="232"/>
      <c r="Q35" s="232"/>
      <c r="R35" s="232"/>
      <c r="S35" s="232"/>
      <c r="T35" s="232"/>
      <c r="U35" s="232"/>
      <c r="V35" s="431"/>
      <c r="W35" s="232"/>
      <c r="X35" s="232"/>
      <c r="Y35" s="232"/>
      <c r="Z35" s="431"/>
      <c r="AA35" s="232"/>
      <c r="AB35" s="232"/>
    </row>
    <row r="36" spans="1:30" ht="15" customHeight="1">
      <c r="A36" s="232">
        <v>11</v>
      </c>
      <c r="B36" s="232" t="s">
        <v>464</v>
      </c>
      <c r="C36" s="232"/>
      <c r="D36" s="232"/>
      <c r="E36" s="232"/>
      <c r="F36" s="232"/>
      <c r="G36" s="232"/>
      <c r="H36" s="232"/>
      <c r="I36" s="232"/>
      <c r="J36" s="431"/>
      <c r="K36" s="232"/>
      <c r="L36" s="232"/>
      <c r="M36" s="232"/>
      <c r="N36" s="431"/>
      <c r="O36" s="232"/>
      <c r="P36" s="232"/>
      <c r="Q36" s="232"/>
      <c r="R36" s="232"/>
      <c r="S36" s="232"/>
      <c r="T36" s="232"/>
      <c r="U36" s="232"/>
      <c r="V36" s="431"/>
      <c r="W36" s="232"/>
      <c r="X36" s="232"/>
      <c r="Y36" s="232"/>
      <c r="Z36" s="428"/>
      <c r="AA36" s="232"/>
      <c r="AB36" s="232"/>
    </row>
    <row r="37" spans="1:30" ht="15" customHeight="1">
      <c r="A37" s="232">
        <v>0.42399999999999999</v>
      </c>
      <c r="B37" s="232" t="s">
        <v>465</v>
      </c>
      <c r="C37" s="232"/>
      <c r="D37" s="232"/>
      <c r="E37" s="232"/>
      <c r="F37" s="232"/>
      <c r="G37" s="232"/>
      <c r="H37" s="232"/>
      <c r="I37" s="232"/>
      <c r="J37" s="431"/>
      <c r="K37" s="232"/>
      <c r="L37" s="232"/>
      <c r="M37" s="232"/>
      <c r="N37" s="431"/>
      <c r="O37" s="232"/>
      <c r="P37" s="232"/>
      <c r="Q37" s="232"/>
      <c r="R37" s="232"/>
      <c r="S37" s="232"/>
      <c r="T37" s="232"/>
      <c r="U37" s="232"/>
      <c r="V37" s="431"/>
      <c r="W37" s="232"/>
      <c r="X37" s="232"/>
      <c r="Y37" s="232"/>
      <c r="Z37" s="431"/>
      <c r="AA37" s="232"/>
      <c r="AB37" s="232"/>
    </row>
    <row r="38" spans="1:30" ht="15" customHeight="1">
      <c r="A38" s="253">
        <f>1/1.4</f>
        <v>0.7142857142857143</v>
      </c>
      <c r="B38" s="232" t="s">
        <v>466</v>
      </c>
      <c r="C38" s="232" t="s">
        <v>467</v>
      </c>
      <c r="D38" s="232"/>
      <c r="E38" s="232"/>
      <c r="F38" s="232"/>
      <c r="G38" s="232"/>
      <c r="H38" s="232"/>
      <c r="I38" s="232"/>
      <c r="J38" s="431"/>
      <c r="K38" s="232"/>
      <c r="L38" s="232"/>
      <c r="M38" s="232"/>
      <c r="N38" s="431"/>
      <c r="O38" s="232"/>
      <c r="P38" s="232"/>
      <c r="Q38" s="232"/>
      <c r="R38" s="232"/>
      <c r="S38" s="232"/>
      <c r="T38" s="232"/>
      <c r="U38" s="232"/>
      <c r="V38" s="431"/>
      <c r="W38" s="232"/>
      <c r="X38" s="232"/>
      <c r="Y38" s="232"/>
      <c r="Z38" s="431"/>
      <c r="AA38" s="232"/>
      <c r="AB38" s="232"/>
    </row>
    <row r="39" spans="1:30" ht="15" customHeight="1">
      <c r="A39" s="232">
        <v>7.6</v>
      </c>
      <c r="B39" s="232" t="s">
        <v>468</v>
      </c>
      <c r="C39" s="232" t="s">
        <v>469</v>
      </c>
      <c r="D39" s="232"/>
      <c r="E39" s="232"/>
      <c r="F39" s="232"/>
      <c r="G39" s="232"/>
      <c r="H39" s="232"/>
      <c r="I39" s="232"/>
      <c r="J39" s="431"/>
      <c r="K39" s="232"/>
      <c r="L39" s="232"/>
      <c r="M39" s="232"/>
      <c r="N39" s="431"/>
      <c r="O39" s="232"/>
      <c r="P39" s="232"/>
      <c r="Q39" s="232"/>
      <c r="R39" s="232"/>
      <c r="S39" s="232"/>
      <c r="T39" s="232"/>
      <c r="U39" s="232"/>
      <c r="V39" s="431"/>
      <c r="W39" s="232"/>
      <c r="X39" s="232"/>
      <c r="Y39" s="232"/>
      <c r="Z39" s="431"/>
      <c r="AA39" s="232"/>
      <c r="AB39" s="232"/>
    </row>
    <row r="40" spans="1:30" ht="15" customHeight="1">
      <c r="A40" s="232">
        <v>0.17</v>
      </c>
      <c r="B40" s="232" t="s">
        <v>470</v>
      </c>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row>
    <row r="41" spans="1:30" ht="15" customHeight="1">
      <c r="A41" s="232">
        <v>0.31</v>
      </c>
      <c r="B41" s="232" t="s">
        <v>471</v>
      </c>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row>
    <row r="42" spans="1:30" ht="15" customHeight="1">
      <c r="A42" s="232">
        <v>0.9</v>
      </c>
      <c r="B42" s="232" t="s">
        <v>472</v>
      </c>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row>
    <row r="43" spans="1:30" ht="15" customHeight="1">
      <c r="A43" s="232" t="s">
        <v>419</v>
      </c>
      <c r="B43" s="232"/>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row>
    <row r="44" spans="1:30" ht="15" customHeight="1">
      <c r="A44" s="232">
        <v>1271</v>
      </c>
      <c r="B44" s="232" t="s">
        <v>478</v>
      </c>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row>
    <row r="45" spans="1:30" ht="15" customHeight="1">
      <c r="A45" s="254">
        <v>4869000000</v>
      </c>
      <c r="B45" s="232" t="s">
        <v>479</v>
      </c>
      <c r="C45" s="232" t="s">
        <v>480</v>
      </c>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row>
    <row r="46" spans="1:30" ht="15" customHeight="1">
      <c r="A46" s="254">
        <v>977000000</v>
      </c>
      <c r="B46" s="232" t="s">
        <v>481</v>
      </c>
      <c r="C46" s="232" t="s">
        <v>480</v>
      </c>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row>
    <row r="47" spans="1:30" ht="15" customHeight="1">
      <c r="A47" s="254">
        <f>(4869+1046+977)*10^6</f>
        <v>6892000000</v>
      </c>
      <c r="B47" s="232" t="s">
        <v>482</v>
      </c>
      <c r="C47" s="232" t="s">
        <v>480</v>
      </c>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row>
    <row r="48" spans="1:30" ht="15" customHeight="1">
      <c r="A48" s="254">
        <f>SUM(1046,977,4869,176,380,470,31,1089,197)*10^6</f>
        <v>9235000000</v>
      </c>
      <c r="B48" s="232" t="s">
        <v>483</v>
      </c>
      <c r="C48" s="232" t="s">
        <v>480</v>
      </c>
      <c r="D48" s="255"/>
      <c r="E48" s="255"/>
      <c r="F48" s="255"/>
      <c r="G48" s="255"/>
      <c r="H48" s="255"/>
      <c r="I48" s="255"/>
      <c r="J48" s="232"/>
      <c r="K48" s="255"/>
      <c r="L48" s="255"/>
      <c r="M48" s="255"/>
      <c r="N48" s="232"/>
      <c r="O48" s="255"/>
      <c r="P48" s="255"/>
      <c r="Q48" s="255"/>
      <c r="R48" s="255"/>
      <c r="S48" s="255"/>
      <c r="T48" s="255"/>
      <c r="U48" s="255"/>
      <c r="V48" s="232"/>
      <c r="W48" s="255"/>
      <c r="X48" s="255"/>
      <c r="Y48" s="255"/>
      <c r="Z48" s="232"/>
      <c r="AA48" s="255"/>
      <c r="AB48" s="255"/>
      <c r="AC48" s="14"/>
      <c r="AD48" s="14"/>
    </row>
    <row r="49" spans="2:2" ht="15" customHeight="1"/>
    <row r="50" spans="2:2" ht="15" customHeight="1">
      <c r="B50" s="14"/>
    </row>
    <row r="51" spans="2:2" ht="15" customHeight="1"/>
    <row r="52" spans="2:2" ht="15" customHeight="1"/>
    <row r="53" spans="2:2" ht="15" customHeight="1"/>
    <row r="54" spans="2:2" ht="15" customHeight="1"/>
    <row r="55" spans="2:2" ht="15" customHeight="1"/>
    <row r="56" spans="2:2" ht="15" customHeight="1"/>
    <row r="57" spans="2:2" ht="15" customHeight="1"/>
    <row r="58" spans="2:2" ht="15" customHeight="1"/>
    <row r="59" spans="2:2" ht="15" customHeight="1"/>
    <row r="60" spans="2:2" ht="15" customHeight="1"/>
    <row r="61" spans="2:2" ht="15" customHeight="1"/>
    <row r="62" spans="2:2" ht="15" customHeight="1"/>
    <row r="63" spans="2:2" ht="15" customHeight="1"/>
    <row r="64" spans="2:2"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1"/>
    <pageSetUpPr fitToPage="1"/>
  </sheetPr>
  <dimension ref="A1:AF65"/>
  <sheetViews>
    <sheetView workbookViewId="0"/>
  </sheetViews>
  <sheetFormatPr baseColWidth="10" defaultRowHeight="13"/>
  <cols>
    <col min="1" max="1" width="15.83203125" style="12" customWidth="1"/>
    <col min="2" max="2" width="30.83203125" style="12" customWidth="1"/>
    <col min="3" max="3" width="10.83203125" style="12"/>
    <col min="4" max="4" width="10.83203125" style="12" customWidth="1"/>
    <col min="5" max="5" width="10.83203125" style="12"/>
    <col min="6" max="7" width="10.83203125" style="12" customWidth="1"/>
    <col min="8" max="9" width="10.83203125" style="12"/>
    <col min="10" max="10" width="10.83203125" style="12" hidden="1" customWidth="1"/>
    <col min="11" max="13" width="10.83203125" style="12"/>
    <col min="14" max="14" width="10.83203125" style="12" hidden="1" customWidth="1"/>
    <col min="15" max="15" width="10.83203125" style="12" customWidth="1"/>
    <col min="16" max="21" width="10.83203125" style="12"/>
    <col min="22" max="22" width="10.83203125" style="12" hidden="1" customWidth="1"/>
    <col min="23" max="25" width="10.83203125" style="12"/>
    <col min="26" max="26" width="10.83203125" style="12" hidden="1" customWidth="1"/>
    <col min="27" max="28" width="10.83203125" style="12" customWidth="1"/>
    <col min="29" max="29" width="10.83203125" style="12"/>
    <col min="30" max="30" width="0" style="12" hidden="1" customWidth="1"/>
    <col min="31" max="31" width="12.6640625" style="12" hidden="1" customWidth="1"/>
    <col min="32" max="32" width="14.5" style="12" hidden="1" customWidth="1"/>
    <col min="33" max="16384" width="10.83203125" style="12"/>
  </cols>
  <sheetData>
    <row r="1" spans="1:32" s="16" customFormat="1" ht="30">
      <c r="A1" s="359" t="s">
        <v>748</v>
      </c>
      <c r="B1" s="360"/>
      <c r="C1" s="415"/>
      <c r="D1" s="415"/>
      <c r="E1" s="415"/>
      <c r="F1" s="415"/>
      <c r="G1" s="360"/>
      <c r="H1" s="360"/>
      <c r="I1" s="360"/>
      <c r="J1" s="407"/>
      <c r="K1" s="360"/>
      <c r="L1" s="360"/>
      <c r="M1" s="360"/>
      <c r="N1" s="407"/>
      <c r="O1" s="360"/>
      <c r="P1" s="360"/>
      <c r="Q1" s="415"/>
      <c r="R1" s="415"/>
      <c r="S1" s="360"/>
      <c r="T1" s="360"/>
      <c r="U1" s="360"/>
      <c r="V1" s="407"/>
      <c r="W1" s="360"/>
      <c r="X1" s="360"/>
      <c r="Y1" s="360"/>
      <c r="Z1" s="407"/>
      <c r="AA1" s="360"/>
      <c r="AB1" s="360"/>
    </row>
    <row r="2" spans="1:32" s="16" customFormat="1" ht="30">
      <c r="A2" s="359"/>
      <c r="B2" s="360"/>
      <c r="C2" s="360"/>
      <c r="D2" s="360"/>
      <c r="E2" s="361"/>
      <c r="F2" s="360"/>
      <c r="G2" s="360"/>
      <c r="H2" s="360"/>
      <c r="I2" s="360"/>
      <c r="J2" s="407"/>
      <c r="K2" s="360"/>
      <c r="L2" s="360"/>
      <c r="M2" s="360"/>
      <c r="N2" s="407"/>
      <c r="O2" s="360"/>
      <c r="P2" s="360"/>
      <c r="Q2" s="360"/>
      <c r="R2" s="360"/>
      <c r="S2" s="360"/>
      <c r="T2" s="360"/>
      <c r="U2" s="360"/>
      <c r="V2" s="407"/>
      <c r="W2" s="360"/>
      <c r="X2" s="360"/>
      <c r="Y2" s="360"/>
      <c r="Z2" s="407"/>
      <c r="AA2" s="360"/>
      <c r="AB2" s="360"/>
    </row>
    <row r="3" spans="1:32" s="16" customFormat="1" ht="30">
      <c r="A3" s="359"/>
      <c r="B3" s="360"/>
      <c r="C3" s="360"/>
      <c r="D3" s="360"/>
      <c r="E3" s="361"/>
      <c r="F3" s="360"/>
      <c r="G3" s="360"/>
      <c r="H3" s="360"/>
      <c r="I3" s="360"/>
      <c r="J3" s="407"/>
      <c r="K3" s="360"/>
      <c r="L3" s="360"/>
      <c r="M3" s="360"/>
      <c r="N3" s="407"/>
      <c r="O3" s="360"/>
      <c r="P3" s="360"/>
      <c r="Q3" s="360"/>
      <c r="R3" s="360"/>
      <c r="S3" s="360"/>
      <c r="T3" s="360"/>
      <c r="U3" s="360"/>
      <c r="V3" s="407"/>
      <c r="W3" s="360"/>
      <c r="X3" s="360"/>
      <c r="Y3" s="360"/>
      <c r="Z3" s="407"/>
      <c r="AA3" s="360"/>
      <c r="AB3" s="360"/>
    </row>
    <row r="4" spans="1:32" s="16" customFormat="1" ht="30">
      <c r="A4" s="359"/>
      <c r="B4" s="360"/>
      <c r="C4" s="360"/>
      <c r="D4" s="360"/>
      <c r="E4" s="361"/>
      <c r="F4" s="360"/>
      <c r="G4" s="360"/>
      <c r="H4" s="360"/>
      <c r="I4" s="360"/>
      <c r="J4" s="407"/>
      <c r="K4" s="360"/>
      <c r="L4" s="360"/>
      <c r="M4" s="360"/>
      <c r="N4" s="407"/>
      <c r="O4" s="360"/>
      <c r="P4" s="360"/>
      <c r="Q4" s="360"/>
      <c r="R4" s="360"/>
      <c r="S4" s="360"/>
      <c r="T4" s="360"/>
      <c r="U4" s="360"/>
      <c r="V4" s="407"/>
      <c r="W4" s="360"/>
      <c r="X4" s="360"/>
      <c r="Y4" s="360"/>
      <c r="Z4" s="407"/>
      <c r="AA4" s="360"/>
      <c r="AB4" s="360"/>
    </row>
    <row r="5" spans="1:32" s="16" customFormat="1" ht="30">
      <c r="A5" s="359"/>
      <c r="B5" s="360"/>
      <c r="C5" s="360"/>
      <c r="D5" s="360"/>
      <c r="E5" s="361"/>
      <c r="F5" s="360"/>
      <c r="G5" s="360"/>
      <c r="H5" s="360"/>
      <c r="I5" s="360"/>
      <c r="J5" s="407"/>
      <c r="K5" s="360"/>
      <c r="L5" s="360"/>
      <c r="M5" s="360"/>
      <c r="N5" s="407"/>
      <c r="O5" s="360"/>
      <c r="P5" s="360"/>
      <c r="Q5" s="360"/>
      <c r="R5" s="360"/>
      <c r="S5" s="360"/>
      <c r="T5" s="360"/>
      <c r="U5" s="360"/>
      <c r="V5" s="407"/>
      <c r="W5" s="360"/>
      <c r="X5" s="360"/>
      <c r="Y5" s="360"/>
      <c r="Z5" s="407"/>
      <c r="AA5" s="360"/>
      <c r="AB5" s="360"/>
    </row>
    <row r="6" spans="1:32" s="16" customFormat="1" ht="30">
      <c r="A6" s="359"/>
      <c r="B6" s="360"/>
      <c r="C6" s="360"/>
      <c r="D6" s="360"/>
      <c r="E6" s="361"/>
      <c r="F6" s="360"/>
      <c r="G6" s="360"/>
      <c r="H6" s="360"/>
      <c r="I6" s="360"/>
      <c r="J6" s="407"/>
      <c r="K6" s="360"/>
      <c r="L6" s="360"/>
      <c r="M6" s="360"/>
      <c r="N6" s="407"/>
      <c r="O6" s="360"/>
      <c r="P6" s="360"/>
      <c r="Q6" s="360"/>
      <c r="R6" s="360"/>
      <c r="S6" s="360"/>
      <c r="T6" s="360"/>
      <c r="U6" s="360"/>
      <c r="V6" s="407"/>
      <c r="W6" s="360"/>
      <c r="X6" s="360"/>
      <c r="Y6" s="360"/>
      <c r="Z6" s="407"/>
      <c r="AA6" s="360"/>
      <c r="AB6" s="360"/>
    </row>
    <row r="7" spans="1:32" s="16" customFormat="1" ht="30">
      <c r="A7" s="359"/>
      <c r="B7" s="360"/>
      <c r="C7" s="360"/>
      <c r="D7" s="360"/>
      <c r="E7" s="361"/>
      <c r="F7" s="360"/>
      <c r="G7" s="360"/>
      <c r="H7" s="360"/>
      <c r="I7" s="360"/>
      <c r="J7" s="407"/>
      <c r="K7" s="360"/>
      <c r="L7" s="360"/>
      <c r="M7" s="360"/>
      <c r="N7" s="407"/>
      <c r="O7" s="360"/>
      <c r="P7" s="360"/>
      <c r="Q7" s="360"/>
      <c r="R7" s="360"/>
      <c r="S7" s="360"/>
      <c r="T7" s="360"/>
      <c r="U7" s="360"/>
      <c r="V7" s="407"/>
      <c r="W7" s="360"/>
      <c r="X7" s="360"/>
      <c r="Y7" s="360"/>
      <c r="Z7" s="407"/>
      <c r="AA7" s="360"/>
      <c r="AB7" s="360"/>
    </row>
    <row r="8" spans="1:32" s="16" customFormat="1" ht="30">
      <c r="A8" s="359"/>
      <c r="B8" s="360"/>
      <c r="C8" s="360"/>
      <c r="D8" s="360"/>
      <c r="E8" s="361"/>
      <c r="F8" s="360"/>
      <c r="G8" s="360"/>
      <c r="H8" s="360"/>
      <c r="I8" s="360"/>
      <c r="J8" s="407"/>
      <c r="K8" s="360"/>
      <c r="L8" s="360"/>
      <c r="M8" s="360"/>
      <c r="N8" s="407"/>
      <c r="O8" s="360"/>
      <c r="P8" s="360"/>
      <c r="Q8" s="360"/>
      <c r="R8" s="360"/>
      <c r="S8" s="360"/>
      <c r="T8" s="360"/>
      <c r="U8" s="360"/>
      <c r="V8" s="407"/>
      <c r="W8" s="360"/>
      <c r="X8" s="360"/>
      <c r="Y8" s="360"/>
      <c r="Z8" s="407"/>
      <c r="AA8" s="360"/>
      <c r="AB8" s="360"/>
    </row>
    <row r="9" spans="1:32" s="16" customFormat="1" ht="31" thickBot="1">
      <c r="A9" s="359"/>
      <c r="B9" s="360"/>
      <c r="C9" s="360"/>
      <c r="D9" s="360"/>
      <c r="E9" s="361"/>
      <c r="F9" s="360"/>
      <c r="G9" s="360"/>
      <c r="H9" s="360"/>
      <c r="I9" s="360"/>
      <c r="J9" s="407"/>
      <c r="K9" s="360"/>
      <c r="L9" s="360"/>
      <c r="M9" s="360"/>
      <c r="N9" s="407"/>
      <c r="O9" s="360"/>
      <c r="P9" s="360"/>
      <c r="Q9" s="360"/>
      <c r="R9" s="360"/>
      <c r="S9" s="360"/>
      <c r="T9" s="360"/>
      <c r="U9" s="360"/>
      <c r="V9" s="407"/>
      <c r="W9" s="360"/>
      <c r="X9" s="360"/>
      <c r="Y9" s="360"/>
      <c r="Z9" s="407"/>
      <c r="AA9" s="360"/>
      <c r="AB9" s="360"/>
    </row>
    <row r="10" spans="1:32" s="16" customFormat="1"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s="16" customFormat="1"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1979969578.4697561</v>
      </c>
      <c r="AF11" s="18">
        <f>X13*O13</f>
        <v>107927868578.3976</v>
      </c>
    </row>
    <row r="12" spans="1:32" s="16" customFormat="1" ht="15" customHeight="1" thickBot="1">
      <c r="A12" s="268"/>
      <c r="B12" s="268" t="s">
        <v>48</v>
      </c>
      <c r="C12" s="269">
        <f>SUM(C15:C31)</f>
        <v>2554730387.2393413</v>
      </c>
      <c r="D12" s="269"/>
      <c r="E12" s="269">
        <f>SUM(E15:E31)</f>
        <v>0.36753470104830172</v>
      </c>
      <c r="F12" s="270"/>
      <c r="G12" s="270"/>
      <c r="H12" s="270"/>
      <c r="I12" s="270"/>
      <c r="J12" s="270"/>
      <c r="K12" s="501"/>
      <c r="L12" s="270"/>
      <c r="M12" s="270"/>
      <c r="N12" s="270"/>
      <c r="O12" s="276">
        <f>SUM(O15:O31)</f>
        <v>109645810314.90349</v>
      </c>
      <c r="P12" s="268"/>
      <c r="Q12" s="269">
        <f>SUM(Q15:Q31)</f>
        <v>15.774126427029284</v>
      </c>
      <c r="R12" s="270"/>
      <c r="S12" s="270"/>
      <c r="T12" s="270"/>
      <c r="U12" s="270"/>
      <c r="V12" s="270"/>
      <c r="W12" s="501"/>
      <c r="X12" s="270"/>
      <c r="Y12" s="270"/>
      <c r="Z12" s="270"/>
      <c r="AA12" s="235"/>
      <c r="AB12" s="236"/>
      <c r="AD12" s="16" t="s">
        <v>887</v>
      </c>
      <c r="AE12" s="18">
        <f>K13*C13</f>
        <v>979661077.44475794</v>
      </c>
      <c r="AF12" s="18">
        <f>W13*O13</f>
        <v>1215272626.4980674</v>
      </c>
    </row>
    <row r="13" spans="1:32" s="16" customFormat="1" ht="15" customHeight="1" thickTop="1" thickBot="1">
      <c r="A13" s="271"/>
      <c r="B13" s="271" t="s">
        <v>870</v>
      </c>
      <c r="C13" s="272">
        <f>SUM(C15:C28)</f>
        <v>2998729402.8189692</v>
      </c>
      <c r="D13" s="272"/>
      <c r="E13" s="272">
        <f>SUM(E15:E28)</f>
        <v>0.43141034376656823</v>
      </c>
      <c r="F13" s="376">
        <f>SUMPRODUCT(F15:F28,$C$15:$C$28)/SUM($C$15:$C$28)</f>
        <v>0.97811595408512408</v>
      </c>
      <c r="G13" s="376">
        <f t="shared" ref="G13:I13" si="0">SUMPRODUCT(G15:G28,$C$15:$C$28)/SUM($C$15:$C$28)</f>
        <v>1.2821420966146323E-2</v>
      </c>
      <c r="H13" s="376">
        <f t="shared" si="0"/>
        <v>9.0626249487295342E-3</v>
      </c>
      <c r="I13" s="376">
        <f t="shared" si="0"/>
        <v>0</v>
      </c>
      <c r="J13" s="430">
        <f>SUM(F13:I13)</f>
        <v>1</v>
      </c>
      <c r="K13" s="393">
        <f>SUMPRODUCT(K15:K29,$C$15:$C$29)/SUM($C$15:$C$29)</f>
        <v>0.32669205715054617</v>
      </c>
      <c r="L13" s="282">
        <f>SUMPRODUCT(L15:L29,$C$15:$C$29)/SUM($C$15:$C$29)</f>
        <v>0.66026950501384907</v>
      </c>
      <c r="M13" s="282">
        <f>SUMPRODUCT(M15:M29,$C$15:$C$29)/SUM($C$15:$C$29)</f>
        <v>1.3038437835604719E-2</v>
      </c>
      <c r="N13" s="430">
        <f>SUM(K13:M13)</f>
        <v>1</v>
      </c>
      <c r="O13" s="277">
        <f>SUM(O16:O28)</f>
        <v>109488228516.03281</v>
      </c>
      <c r="P13" s="271"/>
      <c r="Q13" s="272">
        <f>SUM(Q15:Q28)</f>
        <v>15.838002069747549</v>
      </c>
      <c r="R13" s="282">
        <f>SUMPRODUCT(R15:R27,$O$15:$O$27)/SUM($O$15:$O$27)</f>
        <v>0.94975650354425312</v>
      </c>
      <c r="S13" s="282">
        <f>SUMPRODUCT(S15:S27,$O$15:$O$27)/SUM($O$15:$O$27)</f>
        <v>2.8259031403960657E-2</v>
      </c>
      <c r="T13" s="282">
        <f>SUMPRODUCT(T15:T27,$O$15:$O$27)/SUM($O$15:$O$27)</f>
        <v>2.1984465051786327E-2</v>
      </c>
      <c r="U13" s="282">
        <f>SUMPRODUCT(U15:U27,$O$15:$O$27)/SUM($O$15:$O$27)</f>
        <v>0</v>
      </c>
      <c r="V13" s="430">
        <f>SUM(R13:U13)</f>
        <v>1.0000000000000002</v>
      </c>
      <c r="W13" s="393">
        <f>SUMPRODUCT(W15:W27,$O$15:$O$27)/SUM($O$15:$O$27)</f>
        <v>1.1099573378521785E-2</v>
      </c>
      <c r="X13" s="282">
        <f>SUMPRODUCT(X15:X27,$O$15:$O$27)/SUM($O$15:$O$27)</f>
        <v>0.98574860550048338</v>
      </c>
      <c r="Y13" s="282">
        <f>SUMPRODUCT(Y15:Y27,$O$15:$O$27)/SUM($O$15:$O$27)</f>
        <v>3.1518211209948048E-3</v>
      </c>
      <c r="Z13" s="430">
        <f>SUM(W13:Y13)</f>
        <v>0.99999999999999989</v>
      </c>
      <c r="AA13" s="702"/>
      <c r="AB13" s="703"/>
      <c r="AD13" s="16" t="s">
        <v>888</v>
      </c>
      <c r="AE13" s="18">
        <f>M13*C13</f>
        <v>39098746.904455192</v>
      </c>
      <c r="AF13" s="18">
        <f>Y13*O13</f>
        <v>345087311.13713789</v>
      </c>
    </row>
    <row r="14" spans="1:32" s="16" customFormat="1" ht="15" customHeight="1" thickTop="1" thickBot="1">
      <c r="A14" s="224" t="s">
        <v>591</v>
      </c>
      <c r="B14" s="232"/>
      <c r="C14" s="232"/>
      <c r="D14" s="232"/>
      <c r="E14" s="232"/>
      <c r="F14" s="232"/>
      <c r="G14" s="232"/>
      <c r="H14" s="232"/>
      <c r="I14" s="232"/>
      <c r="J14" s="232"/>
      <c r="K14" s="301"/>
      <c r="L14" s="244"/>
      <c r="M14" s="232"/>
      <c r="N14" s="232"/>
      <c r="O14" s="684"/>
      <c r="P14" s="232"/>
      <c r="Q14" s="232"/>
      <c r="R14" s="232"/>
      <c r="S14" s="232"/>
      <c r="T14" s="232"/>
      <c r="U14" s="232"/>
      <c r="V14" s="232"/>
      <c r="W14" s="301"/>
      <c r="X14" s="244"/>
      <c r="Y14" s="232"/>
      <c r="Z14" s="232"/>
      <c r="AA14" s="704"/>
      <c r="AB14" s="705"/>
      <c r="AE14" s="18"/>
      <c r="AF14" s="18"/>
    </row>
    <row r="15" spans="1:32" s="16" customFormat="1" ht="15" customHeight="1" thickTop="1" thickBot="1">
      <c r="A15" s="232"/>
      <c r="B15" s="232" t="s">
        <v>749</v>
      </c>
      <c r="C15" s="243">
        <f>SUM('Subbituminous Coal'!C15,'Bituminous Coal'!C15,'Bituminous Coal'!C16,'Bituminous Coal'!C17,'Lignite Coal'!C15,'Lignite Coal'!C16)</f>
        <v>601582805.29384935</v>
      </c>
      <c r="D15" s="243">
        <f>C15/AA15</f>
        <v>3.0424641761968827E-2</v>
      </c>
      <c r="E15" s="243">
        <f>C15/AB15</f>
        <v>8.6546336789142947E-2</v>
      </c>
      <c r="F15" s="240">
        <v>1</v>
      </c>
      <c r="G15" s="240"/>
      <c r="H15" s="240"/>
      <c r="I15" s="240"/>
      <c r="J15" s="430">
        <f>SUM(F15:I15)</f>
        <v>1</v>
      </c>
      <c r="K15" s="443">
        <v>1</v>
      </c>
      <c r="L15" s="300"/>
      <c r="M15" s="240"/>
      <c r="N15" s="430">
        <f>SUM(K15:M15)</f>
        <v>1</v>
      </c>
      <c r="O15" s="677">
        <f>SUM('Subbituminous Coal'!O15,'Bituminous Coal'!O15,'Bituminous Coal'!O16,'Bituminous Coal'!O17,'Lignite Coal'!O15,'Lignite Coal'!O16)</f>
        <v>601580814.45030618</v>
      </c>
      <c r="P15" s="243">
        <f>O15/AA15</f>
        <v>3.0424541076408882E-2</v>
      </c>
      <c r="Q15" s="243">
        <f>O15/AB15</f>
        <v>8.6546050377672629E-2</v>
      </c>
      <c r="R15" s="240">
        <v>1</v>
      </c>
      <c r="S15" s="240"/>
      <c r="T15" s="240"/>
      <c r="U15" s="240"/>
      <c r="V15" s="430">
        <f>SUM(R15:U15)</f>
        <v>1</v>
      </c>
      <c r="W15" s="299">
        <v>1</v>
      </c>
      <c r="X15" s="300"/>
      <c r="Y15" s="240"/>
      <c r="Z15" s="430">
        <f>SUM(W15:Y15)</f>
        <v>1</v>
      </c>
      <c r="AA15" s="706">
        <f>SUM('Subbituminous Coal'!AA15,'Bituminous Coal'!AA15,'Bituminous Coal'!AA16,'Bituminous Coal'!AA17,'Lignite Coal'!AA15,'Lignite Coal'!AA16)</f>
        <v>19772880482.880005</v>
      </c>
      <c r="AB15" s="707">
        <f>SUM('Subbituminous Coal'!$AB$15,'Bituminous Coal'!$AB$15,'Lignite Coal'!$AB$15)</f>
        <v>6950990967.526619</v>
      </c>
      <c r="AD15" s="16" t="s">
        <v>267</v>
      </c>
      <c r="AE15" s="18">
        <f>F13*C13</f>
        <v>2933105070.8813906</v>
      </c>
      <c r="AF15" s="18">
        <f>R13*O13</f>
        <v>103987157094.64151</v>
      </c>
    </row>
    <row r="16" spans="1:32" s="16" customFormat="1" ht="15" customHeight="1" thickTop="1">
      <c r="A16" s="223"/>
      <c r="B16" s="232" t="s">
        <v>485</v>
      </c>
      <c r="C16" s="243" t="s">
        <v>412</v>
      </c>
      <c r="D16" s="284"/>
      <c r="E16" s="284"/>
      <c r="F16" s="240"/>
      <c r="G16" s="240"/>
      <c r="H16" s="240"/>
      <c r="I16" s="240"/>
      <c r="J16" s="431"/>
      <c r="K16" s="301"/>
      <c r="L16" s="244"/>
      <c r="M16" s="232"/>
      <c r="N16" s="431"/>
      <c r="O16" s="680"/>
      <c r="P16" s="284"/>
      <c r="Q16" s="284"/>
      <c r="R16" s="240"/>
      <c r="S16" s="240"/>
      <c r="T16" s="240"/>
      <c r="U16" s="240"/>
      <c r="V16" s="431"/>
      <c r="W16" s="299"/>
      <c r="X16" s="300"/>
      <c r="Y16" s="240"/>
      <c r="Z16" s="431"/>
      <c r="AA16" s="706"/>
      <c r="AB16" s="707"/>
      <c r="AD16" s="16" t="s">
        <v>654</v>
      </c>
      <c r="AE16" s="18">
        <f>G13*C13</f>
        <v>38447972.037102573</v>
      </c>
      <c r="AF16" s="18">
        <f>S13*O13</f>
        <v>3094031287.9985919</v>
      </c>
    </row>
    <row r="17" spans="1:32" s="16" customFormat="1" ht="15" customHeight="1">
      <c r="A17" s="232"/>
      <c r="B17" s="232" t="s">
        <v>497</v>
      </c>
      <c r="C17" s="243" t="s">
        <v>412</v>
      </c>
      <c r="D17" s="284"/>
      <c r="E17" s="284"/>
      <c r="F17" s="240"/>
      <c r="G17" s="240"/>
      <c r="H17" s="240"/>
      <c r="I17" s="240"/>
      <c r="J17" s="431"/>
      <c r="K17" s="301"/>
      <c r="L17" s="244"/>
      <c r="M17" s="232"/>
      <c r="N17" s="431"/>
      <c r="O17" s="680"/>
      <c r="P17" s="284"/>
      <c r="Q17" s="284"/>
      <c r="R17" s="240"/>
      <c r="S17" s="240"/>
      <c r="T17" s="240"/>
      <c r="U17" s="240"/>
      <c r="V17" s="431"/>
      <c r="W17" s="299"/>
      <c r="X17" s="300"/>
      <c r="Y17" s="240"/>
      <c r="Z17" s="431"/>
      <c r="AA17" s="706"/>
      <c r="AB17" s="707"/>
      <c r="AD17" s="16" t="s">
        <v>889</v>
      </c>
      <c r="AE17" s="18">
        <f>H13*C13</f>
        <v>27176359.900476009</v>
      </c>
      <c r="AF17" s="18">
        <f>T13*O13</f>
        <v>2407040133.3927183</v>
      </c>
    </row>
    <row r="18" spans="1:32" s="16" customFormat="1" ht="15" customHeight="1">
      <c r="A18" s="232"/>
      <c r="B18" s="232" t="s">
        <v>486</v>
      </c>
      <c r="C18" s="256">
        <v>0</v>
      </c>
      <c r="D18" s="284"/>
      <c r="E18" s="284"/>
      <c r="F18" s="240"/>
      <c r="G18" s="240"/>
      <c r="H18" s="240"/>
      <c r="I18" s="240"/>
      <c r="J18" s="431"/>
      <c r="K18" s="301"/>
      <c r="L18" s="244"/>
      <c r="M18" s="232"/>
      <c r="N18" s="431"/>
      <c r="O18" s="685">
        <v>0</v>
      </c>
      <c r="P18" s="284"/>
      <c r="Q18" s="284"/>
      <c r="R18" s="240"/>
      <c r="S18" s="240"/>
      <c r="T18" s="240"/>
      <c r="U18" s="240"/>
      <c r="V18" s="431"/>
      <c r="W18" s="299"/>
      <c r="X18" s="300"/>
      <c r="Y18" s="240"/>
      <c r="Z18" s="431"/>
      <c r="AA18" s="706"/>
      <c r="AB18" s="707"/>
      <c r="AD18" s="16" t="s">
        <v>890</v>
      </c>
      <c r="AE18" s="18">
        <f>I13*C13</f>
        <v>0</v>
      </c>
      <c r="AF18" s="18">
        <f>U13*O13</f>
        <v>0</v>
      </c>
    </row>
    <row r="19" spans="1:32" s="16" customFormat="1" ht="15" customHeight="1">
      <c r="A19" s="232"/>
      <c r="B19" s="232"/>
      <c r="C19" s="284"/>
      <c r="D19" s="284"/>
      <c r="E19" s="284"/>
      <c r="F19" s="240"/>
      <c r="G19" s="240"/>
      <c r="H19" s="240"/>
      <c r="I19" s="240"/>
      <c r="J19" s="431"/>
      <c r="K19" s="301"/>
      <c r="L19" s="244"/>
      <c r="M19" s="232"/>
      <c r="N19" s="431"/>
      <c r="O19" s="679"/>
      <c r="P19" s="284"/>
      <c r="Q19" s="284"/>
      <c r="R19" s="240"/>
      <c r="S19" s="240"/>
      <c r="T19" s="240"/>
      <c r="U19" s="240"/>
      <c r="V19" s="431"/>
      <c r="W19" s="299"/>
      <c r="X19" s="300"/>
      <c r="Y19" s="240"/>
      <c r="Z19" s="431"/>
      <c r="AA19" s="706"/>
      <c r="AB19" s="707"/>
    </row>
    <row r="20" spans="1:32" s="16" customFormat="1" ht="15" customHeight="1" thickBot="1">
      <c r="A20" s="221" t="s">
        <v>66</v>
      </c>
      <c r="B20" s="232"/>
      <c r="C20" s="284"/>
      <c r="D20" s="284"/>
      <c r="E20" s="284"/>
      <c r="F20" s="240"/>
      <c r="G20" s="240"/>
      <c r="H20" s="240"/>
      <c r="I20" s="240"/>
      <c r="J20" s="431"/>
      <c r="K20" s="301"/>
      <c r="L20" s="244"/>
      <c r="M20" s="232"/>
      <c r="N20" s="431"/>
      <c r="O20" s="679"/>
      <c r="P20" s="284"/>
      <c r="Q20" s="284"/>
      <c r="R20" s="240"/>
      <c r="S20" s="240"/>
      <c r="T20" s="240"/>
      <c r="U20" s="240"/>
      <c r="V20" s="431"/>
      <c r="W20" s="299"/>
      <c r="X20" s="300"/>
      <c r="Y20" s="240"/>
      <c r="Z20" s="431"/>
      <c r="AA20" s="706"/>
      <c r="AB20" s="707"/>
      <c r="AD20" s="16" t="s">
        <v>614</v>
      </c>
      <c r="AE20" s="419"/>
    </row>
    <row r="21" spans="1:32" s="16" customFormat="1" ht="15" customHeight="1" thickTop="1" thickBot="1">
      <c r="A21" s="232"/>
      <c r="B21" s="232" t="s">
        <v>244</v>
      </c>
      <c r="C21" s="243">
        <f>SUM('Subbituminous Coal'!C20,'Bituminous Coal'!C23,'Bituminous Coal'!C24,'Bituminous Coal'!C25)</f>
        <v>59651205.009398118</v>
      </c>
      <c r="D21" s="243">
        <f>C21/AA21</f>
        <v>6.9666932521011251E-3</v>
      </c>
      <c r="E21" s="243">
        <f>C21/AB21</f>
        <v>8.5816835740507216E-3</v>
      </c>
      <c r="F21" s="240">
        <v>1</v>
      </c>
      <c r="G21" s="240"/>
      <c r="H21" s="240"/>
      <c r="I21" s="240"/>
      <c r="J21" s="430">
        <f t="shared" ref="J21" si="1">SUM(F21:I21)</f>
        <v>1</v>
      </c>
      <c r="K21" s="299">
        <v>0.35</v>
      </c>
      <c r="L21" s="300">
        <v>0.65</v>
      </c>
      <c r="M21" s="240"/>
      <c r="N21" s="430">
        <f>SUM(K21:M21)</f>
        <v>1</v>
      </c>
      <c r="O21" s="677">
        <f>SUM('Subbituminous Coal'!O20,'Bituminous Coal'!O23,'Bituminous Coal'!O24,'Bituminous Coal'!O25)</f>
        <v>745640062.61747646</v>
      </c>
      <c r="P21" s="243">
        <f>O21/AA21</f>
        <v>8.7083665651264061E-2</v>
      </c>
      <c r="Q21" s="243">
        <f>O21/AB21</f>
        <v>0.10727104467563402</v>
      </c>
      <c r="R21" s="240">
        <v>1</v>
      </c>
      <c r="S21" s="240"/>
      <c r="T21" s="240"/>
      <c r="U21" s="240"/>
      <c r="V21" s="430">
        <f t="shared" ref="V21" si="2">SUM(R21:U21)</f>
        <v>1</v>
      </c>
      <c r="W21" s="299">
        <v>0.35</v>
      </c>
      <c r="X21" s="300">
        <v>0.65</v>
      </c>
      <c r="Y21" s="240"/>
      <c r="Z21" s="430">
        <f>SUM(W21:Y21)</f>
        <v>1</v>
      </c>
      <c r="AA21" s="706">
        <f>SUM('Subbituminous Coal'!AA20,'Bituminous Coal'!AA23,'Bituminous Coal'!AA24,'Bituminous Coal'!AA25)</f>
        <v>8562341250.1200008</v>
      </c>
      <c r="AB21" s="707">
        <f>SUM('Subbituminous Coal'!$AB$15,'Bituminous Coal'!$AB$15,'Lignite Coal'!$AB$15)</f>
        <v>6950990967.526619</v>
      </c>
      <c r="AD21" s="16" t="s">
        <v>82</v>
      </c>
    </row>
    <row r="22" spans="1:32" s="16" customFormat="1" ht="15" customHeight="1" thickTop="1">
      <c r="A22" s="232"/>
      <c r="B22" s="232"/>
      <c r="C22" s="284"/>
      <c r="D22" s="284"/>
      <c r="E22" s="284"/>
      <c r="F22" s="240"/>
      <c r="G22" s="240"/>
      <c r="H22" s="240"/>
      <c r="I22" s="240"/>
      <c r="J22" s="425"/>
      <c r="K22" s="299"/>
      <c r="L22" s="300"/>
      <c r="M22" s="240"/>
      <c r="N22" s="425"/>
      <c r="O22" s="679"/>
      <c r="P22" s="284"/>
      <c r="Q22" s="284"/>
      <c r="R22" s="240"/>
      <c r="S22" s="240"/>
      <c r="T22" s="240"/>
      <c r="U22" s="240"/>
      <c r="V22" s="425"/>
      <c r="W22" s="299"/>
      <c r="X22" s="300"/>
      <c r="Y22" s="240"/>
      <c r="Z22" s="425"/>
      <c r="AA22" s="706"/>
      <c r="AB22" s="707"/>
      <c r="AD22" s="16" t="s">
        <v>891</v>
      </c>
    </row>
    <row r="23" spans="1:32" s="16" customFormat="1" ht="15" customHeight="1" thickBot="1">
      <c r="A23" s="222" t="s">
        <v>68</v>
      </c>
      <c r="B23" s="232"/>
      <c r="C23" s="284"/>
      <c r="D23" s="284"/>
      <c r="E23" s="284"/>
      <c r="F23" s="240"/>
      <c r="G23" s="240"/>
      <c r="H23" s="240"/>
      <c r="I23" s="240"/>
      <c r="J23" s="425"/>
      <c r="K23" s="299"/>
      <c r="L23" s="300"/>
      <c r="M23" s="240"/>
      <c r="N23" s="425"/>
      <c r="O23" s="679"/>
      <c r="P23" s="284"/>
      <c r="Q23" s="284"/>
      <c r="R23" s="240"/>
      <c r="S23" s="240"/>
      <c r="T23" s="240"/>
      <c r="U23" s="240"/>
      <c r="V23" s="425"/>
      <c r="W23" s="299"/>
      <c r="X23" s="300"/>
      <c r="Y23" s="240"/>
      <c r="Z23" s="425"/>
      <c r="AA23" s="706"/>
      <c r="AB23" s="714"/>
      <c r="AD23" s="16" t="s">
        <v>892</v>
      </c>
    </row>
    <row r="24" spans="1:32" s="16" customFormat="1" ht="15" customHeight="1" thickTop="1" thickBot="1">
      <c r="A24" s="232"/>
      <c r="B24" s="232" t="s">
        <v>487</v>
      </c>
      <c r="C24" s="243">
        <f>SUM('Subbituminous Coal'!C23,'Bituminous Coal'!C28,'Lignite Coal'!C21)</f>
        <v>1976480089.0831089</v>
      </c>
      <c r="D24" s="243">
        <f>C24/AA24</f>
        <v>0.10711138038914851</v>
      </c>
      <c r="E24" s="243">
        <f>C24/AB24</f>
        <v>0.28434508091245625</v>
      </c>
      <c r="F24" s="281">
        <f>('Subbituminous Coal'!F23*'Subbituminous Coal'!$C$23+'Bituminous Coal'!F28*'Bituminous Coal'!$C$28+'Lignite Coal'!F21*'Lignite Coal'!$C$21)/SUM('Subbituminous Coal'!$C$23,'Bituminous Coal'!$C$28,'Lignite Coal'!$C$21)</f>
        <v>0.97111179707098727</v>
      </c>
      <c r="G24" s="281">
        <f>('Subbituminous Coal'!G23*'Subbituminous Coal'!$C$23+'Bituminous Coal'!G28*'Bituminous Coal'!$C$28+'Lignite Coal'!G21*'Lignite Coal'!$C$21)/SUM('Subbituminous Coal'!$C$23,'Bituminous Coal'!$C$28,'Lignite Coal'!$C$21)</f>
        <v>1.6925015243938989E-2</v>
      </c>
      <c r="H24" s="281">
        <f>('Subbituminous Coal'!H23*'Subbituminous Coal'!$C$23+'Bituminous Coal'!H28*'Bituminous Coal'!$C$28+'Lignite Coal'!H21*'Lignite Coal'!$C$21)/SUM('Subbituminous Coal'!$C$23,'Bituminous Coal'!$C$28,'Lignite Coal'!$C$21)</f>
        <v>1.1963187685073835E-2</v>
      </c>
      <c r="I24" s="281"/>
      <c r="J24" s="430">
        <f t="shared" ref="J24:J27" si="3">SUM(F24:I24)</f>
        <v>1</v>
      </c>
      <c r="K24" s="443">
        <f>('Subbituminous Coal'!K23*'Subbituminous Coal'!$C$23+'Bituminous Coal'!K28*'Bituminous Coal'!$C$28+'Lignite Coal'!K21*'Lignite Coal'!$C$21)/SUM('Subbituminous Coal'!$C$23,'Bituminous Coal'!$C$28,'Lignite Coal'!$C$21)</f>
        <v>0.15281328534007657</v>
      </c>
      <c r="L24" s="445">
        <f>('Subbituminous Coal'!L23*'Subbituminous Coal'!$C$23+'Bituminous Coal'!L28*'Bituminous Coal'!$C$28+'Lignite Coal'!L21*'Lignite Coal'!$C$21)/SUM('Subbituminous Coal'!$C$23,'Bituminous Coal'!$C$28,'Lignite Coal'!$C$21)</f>
        <v>0.83045994504589848</v>
      </c>
      <c r="M24" s="281">
        <f>('Subbituminous Coal'!M23*'Subbituminous Coal'!$C$23+'Bituminous Coal'!M28*'Bituminous Coal'!$C$28+'Lignite Coal'!M21*'Lignite Coal'!$C$21)/SUM('Subbituminous Coal'!$C$23,'Bituminous Coal'!$C$28,'Lignite Coal'!$C$21)</f>
        <v>1.6726769614024903E-2</v>
      </c>
      <c r="N24" s="430">
        <f>SUM(K24:M24)</f>
        <v>0.99999999999999989</v>
      </c>
      <c r="O24" s="677">
        <f>SUM('Subbituminous Coal'!O23,'Bituminous Coal'!O28,'Lignite Coal'!O21)</f>
        <v>108676758491.20822</v>
      </c>
      <c r="P24" s="243">
        <f>O24/AA24</f>
        <v>5.8895192936709408</v>
      </c>
      <c r="Q24" s="243">
        <f>O24/AB24</f>
        <v>15.634714388052043</v>
      </c>
      <c r="R24" s="281">
        <f>('Subbituminous Coal'!R23*'Subbituminous Coal'!$O$23+'Bituminous Coal'!R28*'Bituminous Coal'!$O$28+'Lignite Coal'!R21*'Lignite Coal'!$O$21)/SUM('Subbituminous Coal'!$O$23,'Bituminous Coal'!$O$28,'Lignite Coal'!$O$21)</f>
        <v>0.94910322113299461</v>
      </c>
      <c r="S24" s="281">
        <f>('Subbituminous Coal'!S23*'Subbituminous Coal'!$O$23+'Bituminous Coal'!S28*'Bituminous Coal'!$O$28+'Lignite Coal'!S21*'Lignite Coal'!$O$21)/SUM('Subbituminous Coal'!$O$23,'Bituminous Coal'!$O$28,'Lignite Coal'!$O$21)</f>
        <v>2.8626464593879478E-2</v>
      </c>
      <c r="T24" s="281">
        <f>('Subbituminous Coal'!T23*'Subbituminous Coal'!$O$23+'Bituminous Coal'!T28*'Bituminous Coal'!$O$28+'Lignite Coal'!T21*'Lignite Coal'!$O$21)/SUM('Subbituminous Coal'!$O$23,'Bituminous Coal'!$O$28,'Lignite Coal'!$O$21)</f>
        <v>2.2270314273126042E-2</v>
      </c>
      <c r="U24" s="281"/>
      <c r="V24" s="430">
        <f>SUM(R24:U24)</f>
        <v>1.0000000000000002</v>
      </c>
      <c r="W24" s="442">
        <f>('Subbituminous Coal'!W23*'Subbituminous Coal'!$O$23+'Bituminous Coal'!W28*'Bituminous Coal'!$O$28+'Lignite Coal'!W21*'Lignite Coal'!$O$21)/SUM('Subbituminous Coal'!$O$23,'Bituminous Coal'!$O$28,'Lignite Coal'!$O$21)</f>
        <v>3.3050075930343469E-3</v>
      </c>
      <c r="X24" s="445">
        <f>('Subbituminous Coal'!X23*'Subbituminous Coal'!$O$23+'Bituminous Coal'!X28*'Bituminous Coal'!$O$28+'Lignite Coal'!X21*'Lignite Coal'!$O$21)/SUM('Subbituminous Coal'!$O$23,'Bituminous Coal'!$O$28,'Lignite Coal'!$O$21)</f>
        <v>0.99350412311473113</v>
      </c>
      <c r="Y24" s="247">
        <f>('Subbituminous Coal'!Y23*'Subbituminous Coal'!$O$23+'Bituminous Coal'!Y28*'Bituminous Coal'!$O$28+'Lignite Coal'!Y21*'Lignite Coal'!$O$21)/SUM('Subbituminous Coal'!$O$23,'Bituminous Coal'!$O$28,'Lignite Coal'!$O$21)</f>
        <v>3.1908692922345988E-3</v>
      </c>
      <c r="Z24" s="430">
        <f>SUM(W24:Y24)</f>
        <v>1</v>
      </c>
      <c r="AA24" s="706">
        <f>SUM('Subbituminous Coal'!AA23,'Bituminous Coal'!AA28,'Lignite Coal'!AA21)</f>
        <v>18452568549.693966</v>
      </c>
      <c r="AB24" s="707">
        <f>SUM('Subbituminous Coal'!$AB$15,'Bituminous Coal'!$AB$15,'Lignite Coal'!$AB$15)</f>
        <v>6950990967.526619</v>
      </c>
      <c r="AD24" s="16" t="s">
        <v>893</v>
      </c>
    </row>
    <row r="25" spans="1:32" ht="15" customHeight="1" thickTop="1">
      <c r="A25" s="77"/>
      <c r="B25" s="77"/>
      <c r="C25" s="77"/>
      <c r="D25" s="77"/>
      <c r="E25" s="77"/>
      <c r="F25" s="77"/>
      <c r="G25" s="77"/>
      <c r="H25" s="77"/>
      <c r="I25" s="77"/>
      <c r="J25" s="435"/>
      <c r="K25" s="506"/>
      <c r="L25" s="72"/>
      <c r="M25" s="77"/>
      <c r="N25" s="435"/>
      <c r="O25" s="686"/>
      <c r="P25" s="77"/>
      <c r="Q25" s="77"/>
      <c r="R25" s="77"/>
      <c r="S25" s="77"/>
      <c r="T25" s="77"/>
      <c r="U25" s="77"/>
      <c r="V25" s="435"/>
      <c r="W25" s="506"/>
      <c r="X25" s="72"/>
      <c r="Y25" s="77"/>
      <c r="Z25" s="435"/>
      <c r="AA25" s="506"/>
      <c r="AB25" s="526"/>
    </row>
    <row r="26" spans="1:32" s="16" customFormat="1" ht="15" customHeight="1" thickBot="1">
      <c r="A26" s="218" t="s">
        <v>69</v>
      </c>
      <c r="B26" s="232"/>
      <c r="C26" s="284"/>
      <c r="D26" s="284"/>
      <c r="E26" s="284"/>
      <c r="F26" s="240"/>
      <c r="G26" s="240"/>
      <c r="H26" s="240"/>
      <c r="I26" s="240"/>
      <c r="J26" s="425"/>
      <c r="K26" s="299"/>
      <c r="L26" s="300"/>
      <c r="M26" s="240"/>
      <c r="N26" s="425"/>
      <c r="O26" s="679"/>
      <c r="P26" s="284"/>
      <c r="Q26" s="284"/>
      <c r="R26" s="240"/>
      <c r="S26" s="240"/>
      <c r="T26" s="240"/>
      <c r="U26" s="240"/>
      <c r="V26" s="425"/>
      <c r="W26" s="299"/>
      <c r="X26" s="300"/>
      <c r="Y26" s="240"/>
      <c r="Z26" s="425"/>
      <c r="AA26" s="706"/>
      <c r="AB26" s="707"/>
    </row>
    <row r="27" spans="1:32" s="16" customFormat="1" ht="15" customHeight="1" thickTop="1" thickBot="1">
      <c r="A27" s="232"/>
      <c r="B27" s="232" t="s">
        <v>489</v>
      </c>
      <c r="C27" s="243">
        <f>SUM('Subbituminous Coal'!C26,'Bituminous Coal'!C31,'Lignite Coal'!C24)</f>
        <v>65829962.207104415</v>
      </c>
      <c r="D27" s="243">
        <f>C27/AA27</f>
        <v>0.25985250550305705</v>
      </c>
      <c r="E27" s="243">
        <f>C27/AB27</f>
        <v>9.470586642199132E-3</v>
      </c>
      <c r="F27" s="240">
        <v>1</v>
      </c>
      <c r="G27" s="240"/>
      <c r="H27" s="240"/>
      <c r="I27" s="240"/>
      <c r="J27" s="430">
        <f t="shared" si="3"/>
        <v>1</v>
      </c>
      <c r="K27" s="511">
        <f>K24</f>
        <v>0.15281328534007657</v>
      </c>
      <c r="L27" s="347">
        <f>L24</f>
        <v>0.83045994504589848</v>
      </c>
      <c r="M27" s="347">
        <f>M24</f>
        <v>1.6726769614024903E-2</v>
      </c>
      <c r="N27" s="430">
        <f>SUM(K27:M27)</f>
        <v>0.99999999999999989</v>
      </c>
      <c r="O27" s="677">
        <f>SUM('Subbituminous Coal'!O26,'Bituminous Coal'!O31,'Lignite Coal'!O24)</f>
        <v>65829962.207104415</v>
      </c>
      <c r="P27" s="243">
        <f>O27/AA27</f>
        <v>0.25985250550305705</v>
      </c>
      <c r="Q27" s="243">
        <f>O27/AB27</f>
        <v>9.470586642199132E-3</v>
      </c>
      <c r="R27" s="240">
        <v>1</v>
      </c>
      <c r="S27" s="240"/>
      <c r="T27" s="240"/>
      <c r="U27" s="240"/>
      <c r="V27" s="430">
        <f>SUM(R27:U27)</f>
        <v>1</v>
      </c>
      <c r="W27" s="507">
        <f>W24</f>
        <v>3.3050075930343469E-3</v>
      </c>
      <c r="X27" s="348">
        <f>X24</f>
        <v>0.99350412311473113</v>
      </c>
      <c r="Y27" s="350">
        <f>Y24</f>
        <v>3.1908692922345988E-3</v>
      </c>
      <c r="Z27" s="430">
        <f>SUM(W27:Y27)</f>
        <v>1</v>
      </c>
      <c r="AA27" s="706">
        <f>SUM('Subbituminous Coal'!AA26,'Bituminous Coal'!AA31,'Lignite Coal'!AA24)</f>
        <v>253335876.36440918</v>
      </c>
      <c r="AB27" s="707">
        <f>SUM('Subbituminous Coal'!$AB$15,'Bituminous Coal'!$AB$15,'Lignite Coal'!$AB$15)</f>
        <v>6950990967.526619</v>
      </c>
    </row>
    <row r="28" spans="1:32" s="16" customFormat="1" ht="15" customHeight="1" thickTop="1" thickBot="1">
      <c r="A28" s="232"/>
      <c r="B28" s="254" t="s">
        <v>488</v>
      </c>
      <c r="C28" s="243">
        <f>SUM('Subbituminous Coal'!C27,'Bituminous Coal'!C32,'Lignite Coal'!C25)</f>
        <v>295185341.22550851</v>
      </c>
      <c r="D28" s="243">
        <f>C28/AA28</f>
        <v>2.7301473174091907E-2</v>
      </c>
      <c r="E28" s="243">
        <f>C28/AB28</f>
        <v>4.2466655848719184E-2</v>
      </c>
      <c r="F28" s="347">
        <f>F24</f>
        <v>0.97111179707098727</v>
      </c>
      <c r="G28" s="347">
        <f>G24</f>
        <v>1.6925015243938989E-2</v>
      </c>
      <c r="H28" s="347">
        <f>H24</f>
        <v>1.1963187685073835E-2</v>
      </c>
      <c r="I28" s="351"/>
      <c r="J28" s="430">
        <f>SUM(F28:I28)</f>
        <v>1</v>
      </c>
      <c r="K28" s="511">
        <f>K24</f>
        <v>0.15281328534007657</v>
      </c>
      <c r="L28" s="347">
        <f>L24</f>
        <v>0.83045994504589848</v>
      </c>
      <c r="M28" s="347">
        <f>M24</f>
        <v>1.6726769614024903E-2</v>
      </c>
      <c r="N28" s="430">
        <f>SUM(K28:M28)</f>
        <v>0.99999999999999989</v>
      </c>
      <c r="O28" s="685">
        <f>SUM('Subbituminous Coal'!O27,'Bituminous Coal'!O32,'Lignite Coal'!O25)</f>
        <v>0</v>
      </c>
      <c r="P28" s="284"/>
      <c r="Q28" s="284"/>
      <c r="R28" s="379"/>
      <c r="S28" s="379"/>
      <c r="T28" s="379"/>
      <c r="U28" s="379"/>
      <c r="V28" s="434"/>
      <c r="W28" s="518"/>
      <c r="X28" s="379"/>
      <c r="Y28" s="421"/>
      <c r="Z28" s="435"/>
      <c r="AA28" s="706">
        <f>SUM('Subbituminous Coal'!AA27,'Bituminous Coal'!AA32,'Lignite Coal'!AA25)</f>
        <v>10812066416.460945</v>
      </c>
      <c r="AB28" s="707">
        <f>SUM('Subbituminous Coal'!$AB$15,'Bituminous Coal'!$AB$15,'Lignite Coal'!$AB$15)</f>
        <v>6950990967.526619</v>
      </c>
    </row>
    <row r="29" spans="1:32" ht="15" customHeight="1" thickTop="1">
      <c r="A29" s="77"/>
      <c r="B29" s="77"/>
      <c r="C29" s="77"/>
      <c r="D29" s="77"/>
      <c r="E29" s="77"/>
      <c r="F29" s="77"/>
      <c r="G29" s="77"/>
      <c r="H29" s="77"/>
      <c r="I29" s="77"/>
      <c r="J29" s="435"/>
      <c r="K29" s="506"/>
      <c r="L29" s="72"/>
      <c r="M29" s="77"/>
      <c r="N29" s="435"/>
      <c r="O29" s="686"/>
      <c r="P29" s="77"/>
      <c r="Q29" s="77"/>
      <c r="R29" s="77"/>
      <c r="S29" s="77"/>
      <c r="T29" s="77"/>
      <c r="U29" s="77"/>
      <c r="V29" s="435"/>
      <c r="W29" s="506"/>
      <c r="X29" s="72"/>
      <c r="Y29" s="77"/>
      <c r="Z29" s="435"/>
      <c r="AA29" s="506"/>
      <c r="AB29" s="526"/>
    </row>
    <row r="30" spans="1:32" ht="15" customHeight="1" thickBot="1">
      <c r="A30" s="257" t="s">
        <v>413</v>
      </c>
      <c r="B30" s="77"/>
      <c r="C30" s="77"/>
      <c r="D30" s="77"/>
      <c r="E30" s="77"/>
      <c r="F30" s="77"/>
      <c r="G30" s="77"/>
      <c r="H30" s="77"/>
      <c r="I30" s="77"/>
      <c r="J30" s="435"/>
      <c r="K30" s="506"/>
      <c r="L30" s="72"/>
      <c r="M30" s="77"/>
      <c r="N30" s="435"/>
      <c r="O30" s="686"/>
      <c r="P30" s="77"/>
      <c r="Q30" s="77"/>
      <c r="R30" s="77"/>
      <c r="S30" s="77"/>
      <c r="T30" s="77"/>
      <c r="U30" s="77"/>
      <c r="V30" s="435"/>
      <c r="W30" s="506"/>
      <c r="X30" s="72"/>
      <c r="Y30" s="77"/>
      <c r="Z30" s="435"/>
      <c r="AA30" s="506"/>
      <c r="AB30" s="526"/>
    </row>
    <row r="31" spans="1:32" s="16" customFormat="1" ht="15" customHeight="1" thickTop="1" thickBot="1">
      <c r="A31" s="232"/>
      <c r="B31" s="232" t="s">
        <v>413</v>
      </c>
      <c r="C31" s="243">
        <f>SUM('Subbituminous Coal'!C30,'Bituminous Coal'!C35,'Lignite Coal'!C28)</f>
        <v>-443999015.57962787</v>
      </c>
      <c r="D31" s="243">
        <f>C31/AA31</f>
        <v>-2.4061637510458755E-2</v>
      </c>
      <c r="E31" s="243">
        <f>C31/AB31</f>
        <v>-6.3875642718266498E-2</v>
      </c>
      <c r="F31" s="240">
        <v>1</v>
      </c>
      <c r="G31" s="240"/>
      <c r="H31" s="240"/>
      <c r="I31" s="240"/>
      <c r="J31" s="430">
        <f>SUM(F31:I31)</f>
        <v>1</v>
      </c>
      <c r="K31" s="299"/>
      <c r="L31" s="300">
        <v>1</v>
      </c>
      <c r="M31" s="240"/>
      <c r="N31" s="430">
        <f>SUM(K31:M31)</f>
        <v>1</v>
      </c>
      <c r="O31" s="677">
        <f>SUM('Subbituminous Coal'!O30,'Bituminous Coal'!O35,'Lignite Coal'!O28)</f>
        <v>-443999015.57962787</v>
      </c>
      <c r="P31" s="243">
        <f>O31/AA31</f>
        <v>-2.4061637510458755E-2</v>
      </c>
      <c r="Q31" s="243">
        <f>O31/AB31</f>
        <v>-6.3875642718266498E-2</v>
      </c>
      <c r="R31" s="240">
        <v>1</v>
      </c>
      <c r="S31" s="240"/>
      <c r="T31" s="240"/>
      <c r="U31" s="240"/>
      <c r="V31" s="430">
        <f>SUM(R31:U31)</f>
        <v>1</v>
      </c>
      <c r="W31" s="299"/>
      <c r="X31" s="300">
        <v>1</v>
      </c>
      <c r="Y31" s="240"/>
      <c r="Z31" s="430">
        <f>SUM(W31:Y31)</f>
        <v>1</v>
      </c>
      <c r="AA31" s="709">
        <f>SUM('Subbituminous Coal'!AA30,'Bituminous Coal'!AA35,'Lignite Coal'!AA28)</f>
        <v>18452568549.693966</v>
      </c>
      <c r="AB31" s="710">
        <f>SUM('Subbituminous Coal'!$AB$15,'Bituminous Coal'!$AB$15,'Lignite Coal'!$AB$15)</f>
        <v>6950990967.526619</v>
      </c>
    </row>
    <row r="32" spans="1:32" ht="15" customHeight="1" thickTop="1">
      <c r="J32" s="437"/>
      <c r="N32" s="437"/>
      <c r="V32" s="437"/>
      <c r="Z32" s="437"/>
    </row>
    <row r="33" spans="2:26" ht="15" customHeight="1">
      <c r="J33" s="437"/>
      <c r="N33" s="437"/>
      <c r="V33" s="437"/>
      <c r="Z33" s="437"/>
    </row>
    <row r="34" spans="2:26" ht="15" customHeight="1">
      <c r="J34" s="437"/>
      <c r="N34" s="437"/>
    </row>
    <row r="35" spans="2:26" ht="15" customHeight="1">
      <c r="J35" s="437"/>
      <c r="N35" s="437"/>
      <c r="V35" s="437"/>
      <c r="Z35" s="437"/>
    </row>
    <row r="36" spans="2:26" ht="15" customHeight="1">
      <c r="J36" s="437"/>
      <c r="N36" s="437"/>
      <c r="V36" s="437"/>
      <c r="Z36" s="436"/>
    </row>
    <row r="37" spans="2:26" ht="15" customHeight="1">
      <c r="J37" s="437"/>
      <c r="N37" s="437"/>
      <c r="V37" s="437"/>
      <c r="Z37" s="437"/>
    </row>
    <row r="38" spans="2:26" ht="15" customHeight="1">
      <c r="J38" s="437"/>
      <c r="N38" s="437"/>
      <c r="V38" s="437"/>
      <c r="Z38" s="437"/>
    </row>
    <row r="39" spans="2:26" ht="15" customHeight="1">
      <c r="J39" s="437"/>
      <c r="N39" s="437"/>
      <c r="V39" s="437"/>
      <c r="Z39" s="437"/>
    </row>
    <row r="40" spans="2:26" ht="15" customHeight="1"/>
    <row r="41" spans="2:26" ht="15" customHeight="1"/>
    <row r="42" spans="2:26" ht="15" customHeight="1"/>
    <row r="43" spans="2:26" ht="15" customHeight="1"/>
    <row r="44" spans="2:26" ht="15" customHeight="1"/>
    <row r="45" spans="2:26" ht="15" customHeight="1">
      <c r="B45" s="13"/>
    </row>
    <row r="46" spans="2:26" ht="15" customHeight="1"/>
    <row r="47" spans="2:26" ht="15" customHeight="1"/>
    <row r="48" spans="2: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454F53"/>
    <pageSetUpPr fitToPage="1"/>
  </sheetPr>
  <dimension ref="A1:AH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15" width="10.83203125" style="16" customWidth="1"/>
    <col min="16" max="21" width="10.83203125" style="16"/>
    <col min="22" max="22" width="10.83203125" style="16" hidden="1" customWidth="1"/>
    <col min="23" max="25" width="10.83203125" style="16"/>
    <col min="26" max="26" width="10.83203125" style="16" hidden="1" customWidth="1"/>
    <col min="27" max="29" width="10.83203125" style="16"/>
    <col min="30" max="30" width="0" style="16" hidden="1" customWidth="1"/>
    <col min="31" max="31" width="12.6640625" style="16" hidden="1" customWidth="1"/>
    <col min="32" max="32" width="13.83203125" style="16" hidden="1" customWidth="1"/>
    <col min="33" max="33" width="10.83203125" style="16"/>
    <col min="34" max="34" width="11.1640625" style="16" bestFit="1" customWidth="1"/>
    <col min="35" max="16384" width="10.83203125" style="16"/>
  </cols>
  <sheetData>
    <row r="1" spans="1:32" ht="30">
      <c r="A1" s="356" t="s">
        <v>484</v>
      </c>
      <c r="B1" s="357"/>
      <c r="C1" s="491"/>
      <c r="D1" s="491"/>
      <c r="E1" s="358"/>
      <c r="F1" s="357"/>
      <c r="G1" s="357"/>
      <c r="H1" s="357"/>
      <c r="I1" s="357"/>
      <c r="J1" s="406"/>
      <c r="K1" s="357"/>
      <c r="L1" s="357"/>
      <c r="M1" s="357"/>
      <c r="N1" s="406"/>
      <c r="O1" s="357"/>
      <c r="P1" s="357"/>
      <c r="Q1" s="491"/>
      <c r="R1" s="491"/>
      <c r="S1" s="357"/>
      <c r="T1" s="357"/>
      <c r="U1" s="357"/>
      <c r="V1" s="406"/>
      <c r="W1" s="357"/>
      <c r="X1" s="357"/>
      <c r="Y1" s="357"/>
      <c r="Z1" s="406"/>
      <c r="AA1" s="357"/>
      <c r="AB1" s="357"/>
    </row>
    <row r="2" spans="1:32" ht="30">
      <c r="A2" s="356"/>
      <c r="B2" s="357"/>
      <c r="C2" s="357"/>
      <c r="D2" s="357"/>
      <c r="E2" s="358"/>
      <c r="F2" s="357"/>
      <c r="G2" s="357"/>
      <c r="H2" s="357"/>
      <c r="I2" s="357"/>
      <c r="J2" s="406"/>
      <c r="K2" s="357"/>
      <c r="L2" s="357"/>
      <c r="M2" s="357"/>
      <c r="N2" s="406"/>
      <c r="O2" s="357"/>
      <c r="P2" s="357"/>
      <c r="Q2" s="357"/>
      <c r="R2" s="357"/>
      <c r="S2" s="357"/>
      <c r="T2" s="357"/>
      <c r="U2" s="357"/>
      <c r="V2" s="406"/>
      <c r="W2" s="357"/>
      <c r="X2" s="357"/>
      <c r="Y2" s="357"/>
      <c r="Z2" s="406"/>
      <c r="AA2" s="357"/>
      <c r="AB2" s="357"/>
    </row>
    <row r="3" spans="1:32" ht="30">
      <c r="A3" s="356"/>
      <c r="B3" s="357"/>
      <c r="C3" s="357"/>
      <c r="D3" s="357"/>
      <c r="E3" s="358"/>
      <c r="F3" s="357"/>
      <c r="G3" s="357"/>
      <c r="H3" s="357"/>
      <c r="I3" s="357"/>
      <c r="J3" s="406"/>
      <c r="K3" s="357"/>
      <c r="L3" s="357"/>
      <c r="M3" s="357"/>
      <c r="N3" s="406"/>
      <c r="O3" s="357"/>
      <c r="P3" s="357"/>
      <c r="Q3" s="357"/>
      <c r="R3" s="357"/>
      <c r="S3" s="357"/>
      <c r="T3" s="357"/>
      <c r="U3" s="357"/>
      <c r="V3" s="406"/>
      <c r="W3" s="357"/>
      <c r="X3" s="357"/>
      <c r="Y3" s="357"/>
      <c r="Z3" s="406"/>
      <c r="AA3" s="357"/>
      <c r="AB3" s="357"/>
    </row>
    <row r="4" spans="1:32" ht="30">
      <c r="A4" s="356"/>
      <c r="B4" s="357"/>
      <c r="C4" s="357"/>
      <c r="D4" s="357"/>
      <c r="E4" s="358"/>
      <c r="F4" s="357"/>
      <c r="G4" s="357"/>
      <c r="H4" s="357"/>
      <c r="I4" s="357"/>
      <c r="J4" s="406"/>
      <c r="K4" s="357"/>
      <c r="L4" s="357"/>
      <c r="M4" s="357"/>
      <c r="N4" s="406"/>
      <c r="O4" s="357"/>
      <c r="P4" s="357"/>
      <c r="Q4" s="357"/>
      <c r="R4" s="357"/>
      <c r="S4" s="357"/>
      <c r="T4" s="357"/>
      <c r="U4" s="357"/>
      <c r="V4" s="406"/>
      <c r="W4" s="357"/>
      <c r="X4" s="357"/>
      <c r="Y4" s="357"/>
      <c r="Z4" s="406"/>
      <c r="AA4" s="357"/>
      <c r="AB4" s="357"/>
    </row>
    <row r="5" spans="1:32" ht="30">
      <c r="A5" s="356"/>
      <c r="B5" s="357"/>
      <c r="C5" s="357"/>
      <c r="D5" s="357"/>
      <c r="E5" s="358"/>
      <c r="F5" s="357"/>
      <c r="G5" s="357"/>
      <c r="H5" s="357"/>
      <c r="I5" s="357"/>
      <c r="J5" s="406"/>
      <c r="K5" s="357"/>
      <c r="L5" s="357"/>
      <c r="M5" s="357"/>
      <c r="N5" s="406"/>
      <c r="O5" s="357"/>
      <c r="P5" s="357"/>
      <c r="Q5" s="357"/>
      <c r="R5" s="357"/>
      <c r="S5" s="357"/>
      <c r="T5" s="357"/>
      <c r="U5" s="357"/>
      <c r="V5" s="406"/>
      <c r="W5" s="357"/>
      <c r="X5" s="357"/>
      <c r="Y5" s="357"/>
      <c r="Z5" s="406"/>
      <c r="AA5" s="357"/>
      <c r="AB5" s="357"/>
    </row>
    <row r="6" spans="1:32" ht="30">
      <c r="A6" s="356"/>
      <c r="B6" s="357"/>
      <c r="C6" s="357"/>
      <c r="D6" s="357"/>
      <c r="E6" s="358"/>
      <c r="F6" s="357"/>
      <c r="G6" s="357"/>
      <c r="H6" s="357"/>
      <c r="I6" s="357"/>
      <c r="J6" s="406"/>
      <c r="K6" s="357"/>
      <c r="L6" s="357"/>
      <c r="M6" s="357"/>
      <c r="N6" s="406"/>
      <c r="O6" s="357"/>
      <c r="P6" s="357"/>
      <c r="Q6" s="357"/>
      <c r="R6" s="357"/>
      <c r="S6" s="357"/>
      <c r="T6" s="357"/>
      <c r="U6" s="357"/>
      <c r="V6" s="406"/>
      <c r="W6" s="357"/>
      <c r="X6" s="357"/>
      <c r="Y6" s="357"/>
      <c r="Z6" s="406"/>
      <c r="AA6" s="357"/>
      <c r="AB6" s="357"/>
    </row>
    <row r="7" spans="1:32" ht="30">
      <c r="A7" s="356"/>
      <c r="B7" s="357"/>
      <c r="C7" s="357"/>
      <c r="D7" s="357"/>
      <c r="E7" s="358"/>
      <c r="F7" s="357"/>
      <c r="G7" s="357"/>
      <c r="H7" s="357"/>
      <c r="I7" s="357"/>
      <c r="J7" s="406"/>
      <c r="K7" s="357"/>
      <c r="L7" s="357"/>
      <c r="M7" s="357"/>
      <c r="N7" s="406"/>
      <c r="O7" s="357"/>
      <c r="P7" s="357"/>
      <c r="Q7" s="357"/>
      <c r="R7" s="357"/>
      <c r="S7" s="357"/>
      <c r="T7" s="357"/>
      <c r="U7" s="357"/>
      <c r="V7" s="406"/>
      <c r="W7" s="357"/>
      <c r="X7" s="357"/>
      <c r="Y7" s="357"/>
      <c r="Z7" s="406"/>
      <c r="AA7" s="357"/>
      <c r="AB7" s="357"/>
    </row>
    <row r="8" spans="1:32" ht="30">
      <c r="A8" s="356"/>
      <c r="B8" s="357"/>
      <c r="C8" s="357"/>
      <c r="D8" s="357"/>
      <c r="E8" s="358"/>
      <c r="F8" s="357"/>
      <c r="G8" s="357"/>
      <c r="H8" s="357"/>
      <c r="I8" s="357"/>
      <c r="J8" s="406"/>
      <c r="K8" s="357"/>
      <c r="L8" s="357"/>
      <c r="M8" s="357"/>
      <c r="N8" s="406"/>
      <c r="O8" s="357"/>
      <c r="P8" s="357"/>
      <c r="Q8" s="357"/>
      <c r="R8" s="357"/>
      <c r="S8" s="357"/>
      <c r="T8" s="357"/>
      <c r="U8" s="357"/>
      <c r="V8" s="406"/>
      <c r="W8" s="357"/>
      <c r="X8" s="357"/>
      <c r="Y8" s="357"/>
      <c r="Z8" s="406"/>
      <c r="AA8" s="357"/>
      <c r="AB8" s="357"/>
    </row>
    <row r="9" spans="1:32" ht="31" thickBot="1">
      <c r="A9" s="356"/>
      <c r="B9" s="357"/>
      <c r="C9" s="357"/>
      <c r="D9" s="357"/>
      <c r="E9" s="358"/>
      <c r="F9" s="357"/>
      <c r="G9" s="357"/>
      <c r="H9" s="357"/>
      <c r="I9" s="357"/>
      <c r="J9" s="406"/>
      <c r="K9" s="357"/>
      <c r="L9" s="357"/>
      <c r="M9" s="357"/>
      <c r="N9" s="406"/>
      <c r="O9" s="357"/>
      <c r="P9" s="357"/>
      <c r="Q9" s="357"/>
      <c r="R9" s="357"/>
      <c r="S9" s="357"/>
      <c r="T9" s="357"/>
      <c r="U9" s="357"/>
      <c r="V9" s="406"/>
      <c r="W9" s="357"/>
      <c r="X9" s="357"/>
      <c r="Y9" s="357"/>
      <c r="Z9" s="406"/>
      <c r="AA9" s="357"/>
      <c r="AB9" s="357"/>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844009835.86031806</v>
      </c>
      <c r="AF11" s="18">
        <f>X13*O13</f>
        <v>52991716421.116112</v>
      </c>
    </row>
    <row r="12" spans="1:32" ht="15" customHeight="1" thickBot="1">
      <c r="A12" s="268"/>
      <c r="B12" s="268" t="s">
        <v>48</v>
      </c>
      <c r="C12" s="269">
        <f>SUM(C15:C30)</f>
        <v>896337768.09778237</v>
      </c>
      <c r="D12" s="269"/>
      <c r="E12" s="269">
        <f>SUM(E15:E30)</f>
        <v>0.3633517113081513</v>
      </c>
      <c r="F12" s="270"/>
      <c r="G12" s="270"/>
      <c r="H12" s="270"/>
      <c r="I12" s="270"/>
      <c r="J12" s="270"/>
      <c r="K12" s="501"/>
      <c r="L12" s="270"/>
      <c r="M12" s="270"/>
      <c r="N12" s="270"/>
      <c r="O12" s="276">
        <f>SUM(O15:O31)</f>
        <v>53351351246.422119</v>
      </c>
      <c r="P12" s="268"/>
      <c r="Q12" s="269">
        <f>SUM(Q15:Q30)</f>
        <v>21.627231905143809</v>
      </c>
      <c r="R12" s="270"/>
      <c r="S12" s="270"/>
      <c r="T12" s="270"/>
      <c r="U12" s="270"/>
      <c r="V12" s="270"/>
      <c r="W12" s="501"/>
      <c r="X12" s="270"/>
      <c r="Y12" s="270"/>
      <c r="Z12" s="270"/>
      <c r="AA12" s="235"/>
      <c r="AB12" s="236"/>
      <c r="AD12" s="16" t="s">
        <v>887</v>
      </c>
      <c r="AE12" s="18">
        <f>K13*C13</f>
        <v>267407040.40967265</v>
      </c>
      <c r="AF12" s="18">
        <f>W13*O13</f>
        <v>280053507.30820072</v>
      </c>
    </row>
    <row r="13" spans="1:32" ht="15" customHeight="1" thickTop="1" thickBot="1">
      <c r="A13" s="271"/>
      <c r="B13" s="271" t="s">
        <v>870</v>
      </c>
      <c r="C13" s="272">
        <f>SUM(C15:C27)</f>
        <v>1139103192.1474469</v>
      </c>
      <c r="D13" s="272"/>
      <c r="E13" s="272">
        <f>SUM(E15:E27)</f>
        <v>0.46176241697560655</v>
      </c>
      <c r="F13" s="282">
        <f>SUMPRODUCT(F15:F27,$C$15:$C$27)/SUM($C$15:$C$27)</f>
        <v>0.9988111711004517</v>
      </c>
      <c r="G13" s="282">
        <f>SUMPRODUCT(G15:G27,$C$15:$C$27)/SUM($C$15:$C$27)</f>
        <v>1.0950919758453397E-3</v>
      </c>
      <c r="H13" s="282">
        <f>SUMPRODUCT(H15:H27,$C$15:$C$27)/SUM($C$15:$C$27)</f>
        <v>9.3736923703153339E-5</v>
      </c>
      <c r="I13" s="282">
        <f>SUMPRODUCT(I15:I27,$C$15:$C$27)/SUM($C$15:$C$27)</f>
        <v>0</v>
      </c>
      <c r="J13" s="430">
        <f>SUM(F13:I13)</f>
        <v>1.0000000000000002</v>
      </c>
      <c r="K13" s="393">
        <f>SUMPRODUCT(K15:K27,$C$15:$C$27)/SUM($C$15:$C$27)</f>
        <v>0.23475225269587266</v>
      </c>
      <c r="L13" s="282">
        <f>SUMPRODUCT(L15:L27,$C$15:$C$27)/SUM($C$15:$C$27)</f>
        <v>0.74094238492053</v>
      </c>
      <c r="M13" s="282">
        <f>SUMPRODUCT(M15:M27,$C$15:$C$27)/SUM($C$15:$C$27)</f>
        <v>2.4305362383597331E-2</v>
      </c>
      <c r="N13" s="430">
        <f>SUM(K13:M13)</f>
        <v>1</v>
      </c>
      <c r="O13" s="277">
        <f>SUM(O15:O27)</f>
        <v>53594116670.471786</v>
      </c>
      <c r="P13" s="271"/>
      <c r="Q13" s="272">
        <f>SUM(Q15:Q27)</f>
        <v>21.725642610811263</v>
      </c>
      <c r="R13" s="282">
        <f>SUMPRODUCT(R15:R27,$O$15:$O$27)/SUM($O$15:$O$27)</f>
        <v>0.99576896599248887</v>
      </c>
      <c r="S13" s="282">
        <f>SUMPRODUCT(S15:S27,$O$15:$O$27)/SUM($O$15:$O$27)</f>
        <v>4.1109661561522541E-3</v>
      </c>
      <c r="T13" s="282">
        <f>SUMPRODUCT(T15:T27,$O$15:$O$27)/SUM($O$15:$O$27)</f>
        <v>1.2006785135875577E-4</v>
      </c>
      <c r="U13" s="282">
        <f>SUMPRODUCT(U15:U27,$O$15:$O$27)/SUM($O$15:$O$27)</f>
        <v>0</v>
      </c>
      <c r="V13" s="430">
        <f>SUM(R13:U13)</f>
        <v>0.99999999999999989</v>
      </c>
      <c r="W13" s="393">
        <f>SUMPRODUCT(W15:W27,$O$15:$O$27)/SUM($O$15:$O$27)</f>
        <v>5.225452432216296E-3</v>
      </c>
      <c r="X13" s="282">
        <f>SUMPRODUCT(X15:X27,$O$15:$O$27)/SUM($O$15:$O$27)</f>
        <v>0.9887599556298392</v>
      </c>
      <c r="Y13" s="282">
        <f>SUMPRODUCT(Y15:Y27,$O$15:$O$27)/SUM($O$15:$O$27)</f>
        <v>6.0145919379444978E-3</v>
      </c>
      <c r="Z13" s="430">
        <f>SUM(W13:Y13)</f>
        <v>1</v>
      </c>
      <c r="AA13" s="702"/>
      <c r="AB13" s="703"/>
      <c r="AD13" s="16" t="s">
        <v>888</v>
      </c>
      <c r="AE13" s="18">
        <f>M13*C13</f>
        <v>27686315.877456199</v>
      </c>
      <c r="AF13" s="18">
        <f>Y13*O13</f>
        <v>322346742.04747641</v>
      </c>
    </row>
    <row r="14" spans="1:32" ht="15" customHeight="1" thickTop="1" thickBot="1">
      <c r="A14" s="224" t="s">
        <v>591</v>
      </c>
      <c r="B14" s="232"/>
      <c r="C14" s="232"/>
      <c r="D14" s="232"/>
      <c r="E14" s="232"/>
      <c r="F14" s="520"/>
      <c r="G14" s="244"/>
      <c r="H14" s="244"/>
      <c r="I14" s="244"/>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32"/>
      <c r="B15" s="232" t="s">
        <v>749</v>
      </c>
      <c r="C15" s="243">
        <f>D15*AA15</f>
        <v>8382176.413415188</v>
      </c>
      <c r="D15" s="243">
        <f>$A$33</f>
        <v>1.11482563387975E-3</v>
      </c>
      <c r="E15" s="243">
        <f>C15/AB15</f>
        <v>3.3979134347588646E-3</v>
      </c>
      <c r="F15" s="240">
        <v>1</v>
      </c>
      <c r="G15" s="240"/>
      <c r="H15" s="240"/>
      <c r="I15" s="240"/>
      <c r="J15" s="430">
        <f>SUM(F15:I15)</f>
        <v>1</v>
      </c>
      <c r="K15" s="299">
        <v>1</v>
      </c>
      <c r="L15" s="300"/>
      <c r="M15" s="240"/>
      <c r="N15" s="430">
        <f>SUM(K15:M15)</f>
        <v>1</v>
      </c>
      <c r="O15" s="677">
        <f>C15</f>
        <v>8382176.413415188</v>
      </c>
      <c r="P15" s="243">
        <f>$A$33</f>
        <v>1.11482563387975E-3</v>
      </c>
      <c r="Q15" s="243">
        <f>O15/AB15</f>
        <v>3.3979134347588646E-3</v>
      </c>
      <c r="R15" s="240">
        <v>1</v>
      </c>
      <c r="S15" s="240"/>
      <c r="T15" s="240"/>
      <c r="U15" s="240"/>
      <c r="V15" s="430">
        <f>SUM(R15:U15)</f>
        <v>1</v>
      </c>
      <c r="W15" s="299">
        <v>1</v>
      </c>
      <c r="X15" s="300"/>
      <c r="Y15" s="240"/>
      <c r="Z15" s="430">
        <f>SUM(W15:Y15)</f>
        <v>1</v>
      </c>
      <c r="AA15" s="706">
        <f>A34*GJ.per.mmbtu</f>
        <v>7518822817.380002</v>
      </c>
      <c r="AB15" s="707">
        <f>'Energy data by fuel cycle'!$G$9</f>
        <v>2466859905.1611905</v>
      </c>
      <c r="AD15" s="16" t="s">
        <v>267</v>
      </c>
      <c r="AE15" s="18">
        <f>F13*C13</f>
        <v>1137748993.3530543</v>
      </c>
      <c r="AF15" s="18">
        <f>R13*O13</f>
        <v>53367358140.236504</v>
      </c>
    </row>
    <row r="16" spans="1:32" ht="15" customHeight="1" thickTop="1">
      <c r="A16" s="223"/>
      <c r="B16" s="232" t="s">
        <v>485</v>
      </c>
      <c r="C16" s="243" t="s">
        <v>412</v>
      </c>
      <c r="D16" s="284"/>
      <c r="E16" s="284"/>
      <c r="F16" s="232"/>
      <c r="G16" s="232"/>
      <c r="H16" s="232"/>
      <c r="I16" s="232"/>
      <c r="J16" s="431"/>
      <c r="K16" s="301"/>
      <c r="L16" s="244"/>
      <c r="M16" s="232"/>
      <c r="N16" s="431"/>
      <c r="O16" s="680"/>
      <c r="P16" s="284"/>
      <c r="Q16" s="284"/>
      <c r="R16" s="232"/>
      <c r="S16" s="232"/>
      <c r="T16" s="232"/>
      <c r="U16" s="232"/>
      <c r="V16" s="431"/>
      <c r="W16" s="301"/>
      <c r="X16" s="244"/>
      <c r="Y16" s="232"/>
      <c r="Z16" s="431"/>
      <c r="AA16" s="706"/>
      <c r="AB16" s="707"/>
      <c r="AD16" s="16" t="s">
        <v>654</v>
      </c>
      <c r="AE16" s="18">
        <f>G13*C13</f>
        <v>1247422.7653804813</v>
      </c>
      <c r="AF16" s="18">
        <f>S13*O13</f>
        <v>220323599.80118483</v>
      </c>
    </row>
    <row r="17" spans="1:34" ht="15" customHeight="1">
      <c r="A17" s="232"/>
      <c r="B17" s="232" t="s">
        <v>486</v>
      </c>
      <c r="C17" s="283">
        <v>0</v>
      </c>
      <c r="D17" s="284"/>
      <c r="E17" s="284"/>
      <c r="F17" s="232"/>
      <c r="G17" s="232"/>
      <c r="H17" s="232"/>
      <c r="I17" s="240"/>
      <c r="J17" s="431"/>
      <c r="K17" s="301"/>
      <c r="L17" s="244"/>
      <c r="M17" s="232"/>
      <c r="N17" s="431"/>
      <c r="O17" s="687">
        <v>0</v>
      </c>
      <c r="P17" s="240"/>
      <c r="Q17" s="240"/>
      <c r="R17" s="240"/>
      <c r="S17" s="240"/>
      <c r="T17" s="232"/>
      <c r="U17" s="240"/>
      <c r="V17" s="425"/>
      <c r="W17" s="301"/>
      <c r="X17" s="300"/>
      <c r="Y17" s="232"/>
      <c r="Z17" s="431"/>
      <c r="AA17" s="706"/>
      <c r="AB17" s="707"/>
      <c r="AD17" s="16" t="s">
        <v>889</v>
      </c>
      <c r="AE17" s="18">
        <f>H13*C13</f>
        <v>106776.02901234364</v>
      </c>
      <c r="AF17" s="18">
        <f>T13*O13</f>
        <v>6434930.4340940211</v>
      </c>
    </row>
    <row r="18" spans="1:34" ht="15" customHeight="1">
      <c r="A18" s="232"/>
      <c r="B18" s="232"/>
      <c r="C18" s="284"/>
      <c r="D18" s="284"/>
      <c r="E18" s="284"/>
      <c r="F18" s="240"/>
      <c r="G18" s="240"/>
      <c r="H18" s="240"/>
      <c r="I18" s="240"/>
      <c r="J18" s="425"/>
      <c r="K18" s="299"/>
      <c r="L18" s="300"/>
      <c r="M18" s="240"/>
      <c r="N18" s="425"/>
      <c r="O18" s="679"/>
      <c r="P18" s="284"/>
      <c r="Q18" s="284"/>
      <c r="R18" s="240"/>
      <c r="S18" s="240"/>
      <c r="T18" s="240"/>
      <c r="U18" s="240"/>
      <c r="V18" s="425"/>
      <c r="W18" s="299"/>
      <c r="X18" s="300"/>
      <c r="Y18" s="240"/>
      <c r="Z18" s="425"/>
      <c r="AA18" s="706"/>
      <c r="AB18" s="707"/>
      <c r="AD18" s="16" t="s">
        <v>890</v>
      </c>
      <c r="AE18" s="18">
        <f>I13*C13</f>
        <v>0</v>
      </c>
      <c r="AF18" s="18">
        <f>U13*O13</f>
        <v>0</v>
      </c>
    </row>
    <row r="19" spans="1:34" ht="15" customHeight="1" thickBot="1">
      <c r="A19" s="221" t="s">
        <v>66</v>
      </c>
      <c r="B19" s="232"/>
      <c r="C19" s="284"/>
      <c r="D19" s="284"/>
      <c r="E19" s="284"/>
      <c r="F19" s="240"/>
      <c r="G19" s="240"/>
      <c r="H19" s="240"/>
      <c r="I19" s="240"/>
      <c r="J19" s="425"/>
      <c r="K19" s="299"/>
      <c r="L19" s="300"/>
      <c r="M19" s="240"/>
      <c r="N19" s="425"/>
      <c r="O19" s="679"/>
      <c r="P19" s="284"/>
      <c r="Q19" s="284"/>
      <c r="R19" s="240"/>
      <c r="S19" s="240"/>
      <c r="T19" s="240"/>
      <c r="U19" s="240"/>
      <c r="V19" s="425"/>
      <c r="W19" s="299"/>
      <c r="X19" s="300"/>
      <c r="Y19" s="240"/>
      <c r="Z19" s="425"/>
      <c r="AA19" s="706"/>
      <c r="AB19" s="707"/>
    </row>
    <row r="20" spans="1:34" ht="15" customHeight="1" thickTop="1" thickBot="1">
      <c r="A20" s="232"/>
      <c r="B20" s="232" t="s">
        <v>244</v>
      </c>
      <c r="C20" s="243">
        <f>AA20*D20</f>
        <v>72634.648413270159</v>
      </c>
      <c r="D20" s="243">
        <v>8.3525108815994519E-3</v>
      </c>
      <c r="E20" s="243">
        <f>C20/AB20</f>
        <v>2.9444172432047388E-5</v>
      </c>
      <c r="F20" s="240">
        <v>1</v>
      </c>
      <c r="G20" s="240"/>
      <c r="H20" s="240"/>
      <c r="I20" s="240"/>
      <c r="J20" s="430">
        <f>SUM(F20:I20)</f>
        <v>1</v>
      </c>
      <c r="K20" s="299">
        <v>0.35</v>
      </c>
      <c r="L20" s="300">
        <v>0.65</v>
      </c>
      <c r="M20" s="240"/>
      <c r="N20" s="430">
        <f>SUM(K20:M20)</f>
        <v>1</v>
      </c>
      <c r="O20" s="677">
        <f>AA20*P20</f>
        <v>907933.10516587691</v>
      </c>
      <c r="P20" s="243">
        <v>0.10440638601999314</v>
      </c>
      <c r="Q20" s="243">
        <f>O20/AB20</f>
        <v>3.680521554005923E-4</v>
      </c>
      <c r="R20" s="240">
        <v>1</v>
      </c>
      <c r="S20" s="240"/>
      <c r="T20" s="240"/>
      <c r="U20" s="240"/>
      <c r="V20" s="430">
        <f>SUM(R20:U20)</f>
        <v>1</v>
      </c>
      <c r="W20" s="299">
        <v>0.35</v>
      </c>
      <c r="X20" s="300">
        <v>0.65</v>
      </c>
      <c r="Y20" s="240"/>
      <c r="Z20" s="430">
        <f>SUM(W20:Y20)</f>
        <v>1</v>
      </c>
      <c r="AA20" s="706">
        <f>A35*GJ.per.mmbtu</f>
        <v>8696145.3200000022</v>
      </c>
      <c r="AB20" s="707">
        <f>'Energy data by fuel cycle'!$G$9</f>
        <v>2466859905.1611905</v>
      </c>
      <c r="AD20" s="16" t="s">
        <v>614</v>
      </c>
      <c r="AE20" s="18">
        <f>SUM(C15:C17)</f>
        <v>8382176.413415188</v>
      </c>
      <c r="AF20" s="18">
        <f>SUM(O15:O17)</f>
        <v>8382176.413415188</v>
      </c>
      <c r="AG20" s="18"/>
      <c r="AH20" s="18"/>
    </row>
    <row r="21" spans="1:34" ht="15" customHeight="1" thickTop="1">
      <c r="A21" s="232"/>
      <c r="B21" s="232"/>
      <c r="C21" s="284"/>
      <c r="D21" s="284"/>
      <c r="E21" s="284"/>
      <c r="F21" s="240"/>
      <c r="G21" s="240"/>
      <c r="H21" s="240"/>
      <c r="I21" s="240"/>
      <c r="J21" s="425"/>
      <c r="K21" s="299"/>
      <c r="L21" s="300"/>
      <c r="M21" s="240"/>
      <c r="N21" s="425"/>
      <c r="O21" s="679"/>
      <c r="P21" s="284"/>
      <c r="Q21" s="284"/>
      <c r="R21" s="240"/>
      <c r="S21" s="240"/>
      <c r="T21" s="240"/>
      <c r="U21" s="240"/>
      <c r="V21" s="425"/>
      <c r="W21" s="299"/>
      <c r="X21" s="300"/>
      <c r="Y21" s="240"/>
      <c r="Z21" s="425"/>
      <c r="AA21" s="706"/>
      <c r="AB21" s="707"/>
      <c r="AD21" s="16" t="s">
        <v>82</v>
      </c>
      <c r="AE21" s="18">
        <f>C20</f>
        <v>72634.648413270159</v>
      </c>
      <c r="AF21" s="18">
        <f>O20</f>
        <v>907933.10516587691</v>
      </c>
      <c r="AG21" s="18"/>
      <c r="AH21" s="18"/>
    </row>
    <row r="22" spans="1:34" ht="15" customHeight="1" thickBot="1">
      <c r="A22" s="222" t="s">
        <v>68</v>
      </c>
      <c r="B22" s="232"/>
      <c r="C22" s="284"/>
      <c r="D22" s="284"/>
      <c r="E22" s="284"/>
      <c r="F22" s="240"/>
      <c r="G22" s="240"/>
      <c r="H22" s="240"/>
      <c r="I22" s="240"/>
      <c r="J22" s="425"/>
      <c r="K22" s="299"/>
      <c r="L22" s="300"/>
      <c r="M22" s="240"/>
      <c r="N22" s="425"/>
      <c r="O22" s="679"/>
      <c r="P22" s="284"/>
      <c r="Q22" s="284"/>
      <c r="R22" s="240"/>
      <c r="S22" s="240"/>
      <c r="T22" s="240"/>
      <c r="U22" s="240"/>
      <c r="V22" s="425"/>
      <c r="W22" s="299"/>
      <c r="X22" s="300"/>
      <c r="Y22" s="240"/>
      <c r="Z22" s="425"/>
      <c r="AA22" s="706"/>
      <c r="AB22" s="707"/>
      <c r="AD22" s="16" t="s">
        <v>891</v>
      </c>
      <c r="AE22" s="18"/>
      <c r="AF22" s="18"/>
      <c r="AG22" s="18"/>
      <c r="AH22" s="18"/>
    </row>
    <row r="23" spans="1:34" ht="15" customHeight="1" thickTop="1" thickBot="1">
      <c r="A23" s="232"/>
      <c r="B23" s="232" t="s">
        <v>487</v>
      </c>
      <c r="C23" s="243">
        <f>SUM('Sankey conversion input'!$E$35:$E$46)-C27-C26</f>
        <v>1057180086.7892218</v>
      </c>
      <c r="D23" s="243">
        <f>C23/AA23</f>
        <v>0.13499691242588699</v>
      </c>
      <c r="E23" s="243">
        <f>C23/AB23</f>
        <v>0.42855294886319989</v>
      </c>
      <c r="F23" s="247">
        <f>('Absolute Volume'!K91+'Absolute Volume'!K87+'Absolute Volume'!K95)/C23</f>
        <v>0.99878094205154988</v>
      </c>
      <c r="G23" s="247">
        <f>('Absolute Volume'!K92+'Absolute Volume'!K88+'Absolute Volume'!K96)/C23</f>
        <v>1.1229375210724559E-3</v>
      </c>
      <c r="H23" s="346">
        <f>('Absolute Volume'!K93+'Absolute Volume'!K89+'Absolute Volume'!K97)/C23</f>
        <v>9.612042737773011E-5</v>
      </c>
      <c r="I23" s="240"/>
      <c r="J23" s="430">
        <f>SUM(F23:I23)</f>
        <v>1.0000000000000002</v>
      </c>
      <c r="K23" s="299">
        <f>SUM('Absolute Volume'!K87:K90)/C23</f>
        <v>0.23306264185380116</v>
      </c>
      <c r="L23" s="300">
        <f>SUM('Absolute Volume'!K91:K94)/C23</f>
        <v>0.74212114671251417</v>
      </c>
      <c r="M23" s="240">
        <f>SUM('Absolute Volume'!K95:K98)/C23</f>
        <v>2.4816211433684749E-2</v>
      </c>
      <c r="N23" s="430">
        <f>SUM(K23:M23)</f>
        <v>1</v>
      </c>
      <c r="O23" s="677">
        <f>SUM('Sankey conversion input'!$D$35:$D$46)-O27-O26</f>
        <v>53565034965.72789</v>
      </c>
      <c r="P23" s="243">
        <f>O23/AA23</f>
        <v>6.84000240329883</v>
      </c>
      <c r="Q23" s="243">
        <f>O23/AB23</f>
        <v>21.713853654055733</v>
      </c>
      <c r="R23" s="247">
        <f>('Absolute Volume'!L91+'Absolute Volume'!L87+'Absolute Volume'!L95)/O23</f>
        <v>0.99576666886560672</v>
      </c>
      <c r="S23" s="247">
        <f>('Absolute Volume'!L92+'Absolute Volume'!L88+'Absolute Volume'!L96)/O23</f>
        <v>4.1131980954022115E-3</v>
      </c>
      <c r="T23" s="346">
        <f>('Absolute Volume'!L93+'Absolute Volume'!L89+'Absolute Volume'!L97)/O23</f>
        <v>1.2013303899103648E-4</v>
      </c>
      <c r="U23" s="240"/>
      <c r="V23" s="430">
        <f>SUM(R23:U23)</f>
        <v>1</v>
      </c>
      <c r="W23" s="299">
        <f>SUM('Absolute Volume'!L87:L90)/O23</f>
        <v>5.0639998619629841E-3</v>
      </c>
      <c r="X23" s="300">
        <f>SUM('Absolute Volume'!L91:L94)/O23</f>
        <v>0.98892036543815043</v>
      </c>
      <c r="Y23" s="240">
        <f>SUM('Absolute Volume'!L95:L98)/O23</f>
        <v>6.0156346998866215E-3</v>
      </c>
      <c r="Z23" s="430">
        <f>SUM(W23:Y23)</f>
        <v>1</v>
      </c>
      <c r="AA23" s="706">
        <f>'Energy data by fuel cycle'!$E$9</f>
        <v>7831142711.2794991</v>
      </c>
      <c r="AB23" s="707">
        <f>'Energy data by fuel cycle'!$G$9</f>
        <v>2466859905.1611905</v>
      </c>
      <c r="AD23" s="16" t="s">
        <v>892</v>
      </c>
      <c r="AE23" s="18">
        <f>SUM(C23)</f>
        <v>1057180086.7892218</v>
      </c>
      <c r="AF23" s="18">
        <f>SUM(O23)</f>
        <v>53565034965.72789</v>
      </c>
      <c r="AG23" s="18"/>
      <c r="AH23" s="18"/>
    </row>
    <row r="24" spans="1:34" ht="15" customHeight="1" thickTop="1">
      <c r="B24" s="232"/>
      <c r="C24" s="284"/>
      <c r="D24" s="284"/>
      <c r="E24" s="284"/>
      <c r="F24" s="325"/>
      <c r="G24" s="325"/>
      <c r="H24" s="325"/>
      <c r="I24" s="240"/>
      <c r="J24" s="425"/>
      <c r="K24" s="299"/>
      <c r="L24" s="300"/>
      <c r="M24" s="240"/>
      <c r="N24" s="425"/>
      <c r="O24" s="679"/>
      <c r="P24" s="284"/>
      <c r="Q24" s="284"/>
      <c r="R24" s="240"/>
      <c r="S24" s="240"/>
      <c r="T24" s="240"/>
      <c r="U24" s="240"/>
      <c r="V24" s="425"/>
      <c r="W24" s="299"/>
      <c r="X24" s="300"/>
      <c r="Y24" s="240"/>
      <c r="Z24" s="425"/>
      <c r="AA24" s="706"/>
      <c r="AB24" s="707"/>
      <c r="AD24" s="16" t="s">
        <v>893</v>
      </c>
      <c r="AE24" s="18">
        <f>C26+C27</f>
        <v>73468294.296396613</v>
      </c>
      <c r="AF24" s="18">
        <f>O26+O27</f>
        <v>19791595.225318454</v>
      </c>
      <c r="AG24" s="18"/>
      <c r="AH24" s="18"/>
    </row>
    <row r="25" spans="1:34" ht="15" customHeight="1" thickBot="1">
      <c r="A25" s="218" t="s">
        <v>69</v>
      </c>
      <c r="B25" s="232"/>
      <c r="C25" s="232"/>
      <c r="D25" s="232"/>
      <c r="E25" s="232"/>
      <c r="F25" s="232"/>
      <c r="G25" s="232"/>
      <c r="H25" s="232"/>
      <c r="I25" s="232"/>
      <c r="J25" s="431"/>
      <c r="K25" s="301"/>
      <c r="L25" s="244"/>
      <c r="M25" s="232"/>
      <c r="N25" s="431"/>
      <c r="O25" s="680"/>
      <c r="P25" s="232"/>
      <c r="Q25" s="232"/>
      <c r="R25" s="232"/>
      <c r="S25" s="232"/>
      <c r="T25" s="232"/>
      <c r="U25" s="232"/>
      <c r="V25" s="431"/>
      <c r="W25" s="301"/>
      <c r="X25" s="244"/>
      <c r="Y25" s="232"/>
      <c r="Z25" s="431"/>
      <c r="AA25" s="301"/>
      <c r="AB25" s="708"/>
    </row>
    <row r="26" spans="1:34" ht="15" customHeight="1" thickTop="1" thickBot="1">
      <c r="A26" s="232"/>
      <c r="B26" s="232" t="s">
        <v>489</v>
      </c>
      <c r="C26" s="243">
        <f>'Intermediate coal entries'!D9</f>
        <v>19791595.225318454</v>
      </c>
      <c r="D26" s="243">
        <f>C26/AA26</f>
        <v>0.18858748254671889</v>
      </c>
      <c r="E26" s="243">
        <f>C26/AB26</f>
        <v>8.0229911653719246E-3</v>
      </c>
      <c r="F26" s="240">
        <v>1</v>
      </c>
      <c r="G26" s="240"/>
      <c r="H26" s="240"/>
      <c r="I26" s="240"/>
      <c r="J26" s="430">
        <f>SUM(F26:I26)</f>
        <v>1</v>
      </c>
      <c r="K26" s="510">
        <f>W23</f>
        <v>5.0639998619629841E-3</v>
      </c>
      <c r="L26" s="424">
        <f>X23</f>
        <v>0.98892036543815043</v>
      </c>
      <c r="M26" s="424">
        <f t="shared" ref="M26" si="0">Y23</f>
        <v>6.0156346998866215E-3</v>
      </c>
      <c r="N26" s="430">
        <f>SUM(K26:M26)</f>
        <v>1</v>
      </c>
      <c r="O26" s="677">
        <f>C26</f>
        <v>19791595.225318454</v>
      </c>
      <c r="P26" s="243">
        <f>O26/AA26</f>
        <v>0.18858748254671889</v>
      </c>
      <c r="Q26" s="243">
        <f>O26/AB26</f>
        <v>8.0229911653719246E-3</v>
      </c>
      <c r="R26" s="240">
        <v>1</v>
      </c>
      <c r="S26" s="240"/>
      <c r="T26" s="240"/>
      <c r="U26" s="240"/>
      <c r="V26" s="430">
        <f>SUM(R26:U26)</f>
        <v>1</v>
      </c>
      <c r="W26" s="511">
        <f>SUM('Sankey conversion input'!$D$39:$D$42)/(SUM($O$23,O26:O27))</f>
        <v>5.0639998619629841E-3</v>
      </c>
      <c r="X26" s="347">
        <f>SUM('Sankey conversion input'!$D$35:$D$38)/(SUM($O$23,O26:O27))</f>
        <v>0.98892036543815043</v>
      </c>
      <c r="Y26" s="347">
        <f>SUM('Sankey conversion input'!$D$43:$D$46)/(SUM($O$23,O26:O27))</f>
        <v>6.0156346998866215E-3</v>
      </c>
      <c r="Z26" s="430">
        <f>SUM(W26:Y26)</f>
        <v>1</v>
      </c>
      <c r="AA26" s="706">
        <v>104946494.63500564</v>
      </c>
      <c r="AB26" s="707">
        <f>'Energy data by fuel cycle'!$G$9</f>
        <v>2466859905.1611905</v>
      </c>
    </row>
    <row r="27" spans="1:34" ht="15" customHeight="1" thickTop="1" thickBot="1">
      <c r="A27" s="232"/>
      <c r="B27" s="232" t="s">
        <v>488</v>
      </c>
      <c r="C27" s="243">
        <f>'Intermediate coal entries'!$C$3</f>
        <v>53676699.071078151</v>
      </c>
      <c r="D27" s="243">
        <f>C27/AA27</f>
        <v>1.8543412988167432E-2</v>
      </c>
      <c r="E27" s="243">
        <f>C27/AB27</f>
        <v>2.175911933984382E-2</v>
      </c>
      <c r="F27" s="350">
        <f>F23</f>
        <v>0.99878094205154988</v>
      </c>
      <c r="G27" s="350">
        <f>G23</f>
        <v>1.1229375210724559E-3</v>
      </c>
      <c r="H27" s="349">
        <f>H23</f>
        <v>9.612042737773011E-5</v>
      </c>
      <c r="I27" s="347"/>
      <c r="J27" s="430">
        <f>SUM(F27:I27)</f>
        <v>1.0000000000000002</v>
      </c>
      <c r="K27" s="511">
        <f>K23</f>
        <v>0.23306264185380116</v>
      </c>
      <c r="L27" s="347">
        <f>L23</f>
        <v>0.74212114671251417</v>
      </c>
      <c r="M27" s="347">
        <f>M23</f>
        <v>2.4816211433684749E-2</v>
      </c>
      <c r="N27" s="430">
        <f>SUM(K27:M27)</f>
        <v>1</v>
      </c>
      <c r="O27" s="687">
        <v>0</v>
      </c>
      <c r="P27" s="240"/>
      <c r="Q27" s="240"/>
      <c r="R27" s="240"/>
      <c r="S27" s="240"/>
      <c r="T27" s="232"/>
      <c r="U27" s="240"/>
      <c r="V27" s="425"/>
      <c r="W27" s="301"/>
      <c r="X27" s="300"/>
      <c r="Y27" s="232"/>
      <c r="Z27" s="425"/>
      <c r="AA27" s="706">
        <v>2894650467.2753229</v>
      </c>
      <c r="AB27" s="707">
        <f>'Energy data by fuel cycle'!$G$9</f>
        <v>2466859905.1611905</v>
      </c>
    </row>
    <row r="28" spans="1:34" ht="15" customHeight="1" thickTop="1">
      <c r="A28" s="232"/>
      <c r="B28" s="232"/>
      <c r="C28" s="232"/>
      <c r="D28" s="232"/>
      <c r="E28" s="232"/>
      <c r="F28" s="232"/>
      <c r="G28" s="232"/>
      <c r="H28" s="232"/>
      <c r="I28" s="232"/>
      <c r="J28" s="431"/>
      <c r="K28" s="301"/>
      <c r="L28" s="244"/>
      <c r="M28" s="232"/>
      <c r="N28" s="431"/>
      <c r="O28" s="680"/>
      <c r="P28" s="232"/>
      <c r="Q28" s="232"/>
      <c r="R28" s="232"/>
      <c r="S28" s="232"/>
      <c r="T28" s="232"/>
      <c r="U28" s="232"/>
      <c r="V28" s="431"/>
      <c r="W28" s="301"/>
      <c r="X28" s="244"/>
      <c r="Y28" s="232"/>
      <c r="Z28" s="431"/>
      <c r="AA28" s="301"/>
      <c r="AB28" s="708"/>
      <c r="AE28" s="18"/>
      <c r="AF28" s="18"/>
    </row>
    <row r="29" spans="1:34" ht="15" customHeight="1" thickBot="1">
      <c r="A29" s="257" t="s">
        <v>413</v>
      </c>
      <c r="B29" s="232"/>
      <c r="C29" s="232"/>
      <c r="D29" s="232"/>
      <c r="E29" s="232"/>
      <c r="F29" s="232"/>
      <c r="G29" s="232"/>
      <c r="H29" s="232"/>
      <c r="I29" s="232"/>
      <c r="J29" s="431"/>
      <c r="K29" s="301"/>
      <c r="L29" s="244"/>
      <c r="M29" s="232"/>
      <c r="N29" s="431"/>
      <c r="O29" s="680"/>
      <c r="P29" s="232"/>
      <c r="Q29" s="232"/>
      <c r="R29" s="232"/>
      <c r="S29" s="232"/>
      <c r="T29" s="232"/>
      <c r="U29" s="232"/>
      <c r="V29" s="431"/>
      <c r="W29" s="301"/>
      <c r="X29" s="244"/>
      <c r="Y29" s="232"/>
      <c r="Z29" s="431"/>
      <c r="AA29" s="301"/>
      <c r="AB29" s="708"/>
      <c r="AE29" s="18"/>
      <c r="AF29" s="18"/>
    </row>
    <row r="30" spans="1:34" ht="15" customHeight="1" thickTop="1" thickBot="1">
      <c r="A30" s="232"/>
      <c r="B30" s="232" t="s">
        <v>413</v>
      </c>
      <c r="C30" s="243">
        <f>AA30*D30</f>
        <v>-242765424.04966447</v>
      </c>
      <c r="D30" s="243">
        <v>-3.1E-2</v>
      </c>
      <c r="E30" s="243">
        <f>C30/AB30</f>
        <v>-9.8410705667455245E-2</v>
      </c>
      <c r="F30" s="240">
        <v>1</v>
      </c>
      <c r="G30" s="240"/>
      <c r="H30" s="240"/>
      <c r="I30" s="240"/>
      <c r="J30" s="430">
        <f>SUM(F30:I30)</f>
        <v>1</v>
      </c>
      <c r="K30" s="299"/>
      <c r="L30" s="300">
        <v>1</v>
      </c>
      <c r="M30" s="240"/>
      <c r="N30" s="430">
        <f>SUM(K30:M30)</f>
        <v>1</v>
      </c>
      <c r="O30" s="677">
        <f>AA30*P30</f>
        <v>-242765424.04966447</v>
      </c>
      <c r="P30" s="243">
        <f>D30</f>
        <v>-3.1E-2</v>
      </c>
      <c r="Q30" s="243">
        <f>O30/AB30</f>
        <v>-9.8410705667455245E-2</v>
      </c>
      <c r="R30" s="240">
        <v>1</v>
      </c>
      <c r="S30" s="240"/>
      <c r="T30" s="240"/>
      <c r="U30" s="240"/>
      <c r="V30" s="430">
        <f>SUM(R30:U30)</f>
        <v>1</v>
      </c>
      <c r="W30" s="299"/>
      <c r="X30" s="300">
        <v>1</v>
      </c>
      <c r="Y30" s="240"/>
      <c r="Z30" s="430">
        <f>SUM(W30:Y30)</f>
        <v>1</v>
      </c>
      <c r="AA30" s="709">
        <f>'Energy data by fuel cycle'!$E$9</f>
        <v>7831142711.2794991</v>
      </c>
      <c r="AB30" s="710">
        <f>'Energy data by fuel cycle'!$G$9</f>
        <v>2466859905.1611905</v>
      </c>
      <c r="AE30" s="18"/>
      <c r="AF30" s="18"/>
    </row>
    <row r="31" spans="1:34" ht="15" customHeight="1" thickTop="1">
      <c r="A31" s="232"/>
      <c r="B31" s="232"/>
      <c r="C31" s="232"/>
      <c r="D31" s="232"/>
      <c r="E31" s="232"/>
      <c r="F31" s="232"/>
      <c r="G31" s="232"/>
      <c r="H31" s="232"/>
      <c r="I31" s="232"/>
      <c r="J31" s="431"/>
      <c r="K31" s="244"/>
      <c r="L31" s="244"/>
      <c r="M31" s="232"/>
      <c r="N31" s="431"/>
      <c r="O31" s="232"/>
      <c r="P31" s="232"/>
      <c r="Q31" s="232"/>
      <c r="R31" s="232"/>
      <c r="S31" s="232"/>
      <c r="T31" s="232"/>
      <c r="U31" s="232"/>
      <c r="V31" s="431"/>
      <c r="W31" s="244"/>
      <c r="X31" s="244"/>
      <c r="Y31" s="232"/>
      <c r="Z31" s="431"/>
      <c r="AA31" s="232"/>
      <c r="AB31" s="232"/>
    </row>
    <row r="32" spans="1:34" ht="15" customHeight="1">
      <c r="A32" s="251" t="s">
        <v>414</v>
      </c>
      <c r="B32" s="232"/>
      <c r="C32" s="232"/>
      <c r="D32" s="232"/>
      <c r="E32" s="232"/>
      <c r="F32" s="232"/>
      <c r="G32" s="232"/>
      <c r="H32" s="232"/>
      <c r="I32" s="232"/>
      <c r="J32" s="431"/>
      <c r="K32" s="232"/>
      <c r="L32" s="232"/>
      <c r="M32" s="232"/>
      <c r="N32" s="431"/>
      <c r="O32" s="232"/>
      <c r="P32" s="232"/>
      <c r="Q32" s="232"/>
      <c r="R32" s="232"/>
      <c r="S32" s="232"/>
      <c r="T32" s="232"/>
      <c r="U32" s="232"/>
      <c r="V32" s="431"/>
      <c r="W32" s="232"/>
      <c r="X32" s="232"/>
      <c r="Y32" s="232"/>
      <c r="Z32" s="431"/>
      <c r="AA32" s="232"/>
      <c r="AB32" s="232"/>
    </row>
    <row r="33" spans="1:28" ht="15" customHeight="1">
      <c r="A33" s="355">
        <v>1.11482563387975E-3</v>
      </c>
      <c r="B33" s="255" t="s">
        <v>490</v>
      </c>
      <c r="C33" s="255" t="s">
        <v>292</v>
      </c>
      <c r="D33" s="232"/>
      <c r="E33" s="232"/>
      <c r="F33" s="232"/>
      <c r="G33" s="232"/>
      <c r="H33" s="232"/>
      <c r="I33" s="232"/>
      <c r="J33" s="431"/>
      <c r="K33" s="232"/>
      <c r="L33" s="232"/>
      <c r="M33" s="232"/>
      <c r="N33" s="431"/>
      <c r="O33" s="232"/>
      <c r="P33" s="232"/>
      <c r="Q33" s="232"/>
      <c r="R33" s="232"/>
      <c r="S33" s="232"/>
      <c r="T33" s="232"/>
      <c r="U33" s="232"/>
      <c r="V33" s="431"/>
      <c r="W33" s="232"/>
      <c r="X33" s="232"/>
      <c r="Y33" s="232"/>
      <c r="Z33" s="431"/>
      <c r="AA33" s="232"/>
      <c r="AB33" s="232"/>
    </row>
    <row r="34" spans="1:28" ht="15" customHeight="1">
      <c r="A34" s="254">
        <v>7120974000.000001</v>
      </c>
      <c r="B34" s="232" t="s">
        <v>491</v>
      </c>
      <c r="C34" s="232"/>
      <c r="D34" s="232"/>
      <c r="E34" s="232"/>
      <c r="F34" s="232"/>
      <c r="G34" s="232"/>
      <c r="H34" s="232"/>
      <c r="I34" s="232"/>
      <c r="J34" s="431"/>
      <c r="K34" s="232"/>
      <c r="L34" s="232"/>
      <c r="M34" s="232"/>
      <c r="N34" s="431"/>
      <c r="O34" s="232"/>
      <c r="P34" s="232"/>
      <c r="Q34" s="232"/>
      <c r="R34" s="232"/>
      <c r="S34" s="232"/>
      <c r="T34" s="232"/>
      <c r="U34" s="232"/>
      <c r="V34" s="232"/>
      <c r="W34" s="232"/>
      <c r="X34" s="232"/>
      <c r="Y34" s="232"/>
      <c r="Z34" s="232"/>
      <c r="AA34" s="232"/>
      <c r="AB34" s="232"/>
    </row>
    <row r="35" spans="1:28" ht="15" customHeight="1">
      <c r="A35" s="254">
        <v>8236000.0000000009</v>
      </c>
      <c r="B35" s="232" t="s">
        <v>492</v>
      </c>
      <c r="C35" s="232"/>
      <c r="D35" s="232"/>
      <c r="E35" s="232"/>
      <c r="F35" s="232"/>
      <c r="G35" s="232"/>
      <c r="H35" s="232"/>
      <c r="I35" s="232"/>
      <c r="J35" s="431"/>
      <c r="K35" s="232"/>
      <c r="L35" s="232"/>
      <c r="M35" s="232"/>
      <c r="N35" s="431"/>
      <c r="O35" s="232"/>
      <c r="P35" s="232"/>
      <c r="Q35" s="232"/>
      <c r="R35" s="232"/>
      <c r="S35" s="232"/>
      <c r="T35" s="232"/>
      <c r="U35" s="232"/>
      <c r="V35" s="431"/>
      <c r="W35" s="232"/>
      <c r="X35" s="232"/>
      <c r="Y35" s="232"/>
      <c r="Z35" s="431"/>
      <c r="AA35" s="232"/>
      <c r="AB35" s="232"/>
    </row>
    <row r="36" spans="1:28" ht="15" customHeight="1">
      <c r="J36" s="433"/>
      <c r="N36" s="433"/>
      <c r="V36" s="433"/>
      <c r="Z36" s="429"/>
    </row>
    <row r="37" spans="1:28" ht="15" customHeight="1">
      <c r="J37" s="433"/>
      <c r="N37" s="433"/>
      <c r="V37" s="433"/>
      <c r="Z37" s="433"/>
    </row>
    <row r="38" spans="1:28" ht="15" customHeight="1">
      <c r="J38" s="433"/>
      <c r="N38" s="433"/>
      <c r="V38" s="433"/>
      <c r="Z38" s="433"/>
    </row>
    <row r="39" spans="1:28" ht="15" customHeight="1">
      <c r="J39" s="433"/>
      <c r="N39" s="433"/>
      <c r="V39" s="433"/>
      <c r="Z39" s="433"/>
    </row>
    <row r="40" spans="1:28" ht="15" customHeight="1"/>
    <row r="41" spans="1:28" ht="15" customHeight="1"/>
    <row r="42" spans="1:28" ht="15" customHeight="1"/>
    <row r="43" spans="1:28" ht="15" customHeight="1"/>
    <row r="44" spans="1:28" ht="15" customHeight="1"/>
    <row r="45" spans="1:28" ht="15" customHeight="1"/>
    <row r="46" spans="1:28" ht="15" customHeight="1">
      <c r="B46" s="14"/>
    </row>
    <row r="47" spans="1:28" ht="15" customHeight="1"/>
    <row r="48" spans="1:2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10301"/>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15" width="10.83203125" style="16" customWidth="1"/>
    <col min="16" max="21" width="10.83203125" style="16"/>
    <col min="22" max="22" width="10.83203125" style="16" hidden="1" customWidth="1"/>
    <col min="23" max="25" width="10.83203125" style="16"/>
    <col min="26" max="26" width="10.83203125" style="16" hidden="1" customWidth="1"/>
    <col min="27" max="29" width="10.83203125" style="16"/>
    <col min="30" max="30" width="0" style="16" hidden="1" customWidth="1"/>
    <col min="31" max="31" width="12.6640625" style="16" hidden="1" customWidth="1"/>
    <col min="32" max="32" width="13.6640625" style="16" hidden="1" customWidth="1"/>
    <col min="33" max="16384" width="10.83203125" style="16"/>
  </cols>
  <sheetData>
    <row r="1" spans="1:32" ht="30">
      <c r="A1" s="352" t="s">
        <v>493</v>
      </c>
      <c r="B1" s="353"/>
      <c r="C1" s="490"/>
      <c r="D1" s="490"/>
      <c r="E1" s="354"/>
      <c r="F1" s="353"/>
      <c r="G1" s="353"/>
      <c r="H1" s="353"/>
      <c r="I1" s="353"/>
      <c r="J1" s="405"/>
      <c r="K1" s="353"/>
      <c r="L1" s="353"/>
      <c r="M1" s="353"/>
      <c r="N1" s="405"/>
      <c r="O1" s="353"/>
      <c r="P1" s="353"/>
      <c r="Q1" s="490"/>
      <c r="R1" s="490"/>
      <c r="S1" s="353"/>
      <c r="T1" s="353"/>
      <c r="U1" s="353"/>
      <c r="V1" s="405"/>
      <c r="W1" s="353"/>
      <c r="X1" s="353"/>
      <c r="Y1" s="353"/>
      <c r="Z1" s="405"/>
      <c r="AA1" s="353"/>
      <c r="AB1" s="353"/>
    </row>
    <row r="2" spans="1:32" ht="30">
      <c r="A2" s="352"/>
      <c r="B2" s="353"/>
      <c r="C2" s="353"/>
      <c r="D2" s="353"/>
      <c r="E2" s="354"/>
      <c r="F2" s="353"/>
      <c r="G2" s="353"/>
      <c r="H2" s="353"/>
      <c r="I2" s="353"/>
      <c r="J2" s="405"/>
      <c r="K2" s="353"/>
      <c r="L2" s="353"/>
      <c r="M2" s="353"/>
      <c r="N2" s="405"/>
      <c r="O2" s="353"/>
      <c r="P2" s="353"/>
      <c r="Q2" s="353"/>
      <c r="R2" s="353"/>
      <c r="S2" s="353"/>
      <c r="T2" s="353"/>
      <c r="U2" s="353"/>
      <c r="V2" s="405"/>
      <c r="W2" s="353"/>
      <c r="X2" s="353"/>
      <c r="Y2" s="353"/>
      <c r="Z2" s="405"/>
      <c r="AA2" s="353"/>
      <c r="AB2" s="353"/>
    </row>
    <row r="3" spans="1:32" ht="30">
      <c r="A3" s="352"/>
      <c r="B3" s="353"/>
      <c r="C3" s="353"/>
      <c r="D3" s="353"/>
      <c r="E3" s="354"/>
      <c r="F3" s="353"/>
      <c r="G3" s="353"/>
      <c r="H3" s="353"/>
      <c r="I3" s="353"/>
      <c r="J3" s="405"/>
      <c r="K3" s="353"/>
      <c r="L3" s="353"/>
      <c r="M3" s="353"/>
      <c r="N3" s="405"/>
      <c r="O3" s="353"/>
      <c r="P3" s="353"/>
      <c r="Q3" s="353"/>
      <c r="R3" s="353"/>
      <c r="S3" s="353"/>
      <c r="T3" s="353"/>
      <c r="U3" s="353"/>
      <c r="V3" s="405"/>
      <c r="W3" s="353"/>
      <c r="X3" s="353"/>
      <c r="Y3" s="353"/>
      <c r="Z3" s="405"/>
      <c r="AA3" s="353"/>
      <c r="AB3" s="353"/>
    </row>
    <row r="4" spans="1:32" ht="30">
      <c r="A4" s="352"/>
      <c r="B4" s="353"/>
      <c r="C4" s="353"/>
      <c r="D4" s="353"/>
      <c r="E4" s="354"/>
      <c r="F4" s="353"/>
      <c r="G4" s="353"/>
      <c r="H4" s="353"/>
      <c r="I4" s="353"/>
      <c r="J4" s="405"/>
      <c r="K4" s="353"/>
      <c r="L4" s="353"/>
      <c r="M4" s="353"/>
      <c r="N4" s="405"/>
      <c r="O4" s="353"/>
      <c r="P4" s="353"/>
      <c r="Q4" s="353"/>
      <c r="R4" s="353"/>
      <c r="S4" s="353"/>
      <c r="T4" s="353"/>
      <c r="U4" s="353"/>
      <c r="V4" s="405"/>
      <c r="W4" s="353"/>
      <c r="X4" s="353"/>
      <c r="Y4" s="353"/>
      <c r="Z4" s="405"/>
      <c r="AA4" s="353"/>
      <c r="AB4" s="353"/>
    </row>
    <row r="5" spans="1:32" ht="30">
      <c r="A5" s="352"/>
      <c r="B5" s="353"/>
      <c r="C5" s="353"/>
      <c r="D5" s="353"/>
      <c r="E5" s="354"/>
      <c r="F5" s="353"/>
      <c r="G5" s="353"/>
      <c r="H5" s="353"/>
      <c r="I5" s="353"/>
      <c r="J5" s="405"/>
      <c r="K5" s="353"/>
      <c r="L5" s="353"/>
      <c r="M5" s="353"/>
      <c r="N5" s="405"/>
      <c r="O5" s="353"/>
      <c r="P5" s="353"/>
      <c r="Q5" s="353"/>
      <c r="R5" s="353"/>
      <c r="S5" s="353"/>
      <c r="T5" s="353"/>
      <c r="U5" s="353"/>
      <c r="V5" s="405"/>
      <c r="W5" s="353"/>
      <c r="X5" s="353"/>
      <c r="Y5" s="353"/>
      <c r="Z5" s="405"/>
      <c r="AA5" s="353"/>
      <c r="AB5" s="353"/>
    </row>
    <row r="6" spans="1:32" ht="30">
      <c r="A6" s="352"/>
      <c r="B6" s="353"/>
      <c r="C6" s="353"/>
      <c r="D6" s="353"/>
      <c r="E6" s="354"/>
      <c r="F6" s="353"/>
      <c r="G6" s="353"/>
      <c r="H6" s="353"/>
      <c r="I6" s="353"/>
      <c r="J6" s="405"/>
      <c r="K6" s="353"/>
      <c r="L6" s="353"/>
      <c r="M6" s="353"/>
      <c r="N6" s="405"/>
      <c r="O6" s="353"/>
      <c r="P6" s="353"/>
      <c r="Q6" s="353"/>
      <c r="R6" s="353"/>
      <c r="S6" s="353"/>
      <c r="T6" s="353"/>
      <c r="U6" s="353"/>
      <c r="V6" s="405"/>
      <c r="W6" s="353"/>
      <c r="X6" s="353"/>
      <c r="Y6" s="353"/>
      <c r="Z6" s="405"/>
      <c r="AA6" s="353"/>
      <c r="AB6" s="353"/>
    </row>
    <row r="7" spans="1:32" ht="30">
      <c r="A7" s="352"/>
      <c r="B7" s="353"/>
      <c r="C7" s="353"/>
      <c r="D7" s="353"/>
      <c r="E7" s="354"/>
      <c r="F7" s="353"/>
      <c r="G7" s="353"/>
      <c r="H7" s="353"/>
      <c r="I7" s="353"/>
      <c r="J7" s="405"/>
      <c r="K7" s="353"/>
      <c r="L7" s="353"/>
      <c r="M7" s="353"/>
      <c r="N7" s="405"/>
      <c r="O7" s="353"/>
      <c r="P7" s="353"/>
      <c r="Q7" s="353"/>
      <c r="R7" s="353"/>
      <c r="S7" s="353"/>
      <c r="T7" s="353"/>
      <c r="U7" s="353"/>
      <c r="V7" s="405"/>
      <c r="W7" s="353"/>
      <c r="X7" s="353"/>
      <c r="Y7" s="353"/>
      <c r="Z7" s="405"/>
      <c r="AA7" s="353"/>
      <c r="AB7" s="353"/>
    </row>
    <row r="8" spans="1:32" ht="30">
      <c r="A8" s="352"/>
      <c r="B8" s="353"/>
      <c r="C8" s="353"/>
      <c r="D8" s="353"/>
      <c r="E8" s="354"/>
      <c r="F8" s="353"/>
      <c r="G8" s="353"/>
      <c r="H8" s="353"/>
      <c r="I8" s="353"/>
      <c r="J8" s="405"/>
      <c r="K8" s="353"/>
      <c r="L8" s="353"/>
      <c r="M8" s="353"/>
      <c r="N8" s="405"/>
      <c r="O8" s="353"/>
      <c r="P8" s="353"/>
      <c r="Q8" s="353"/>
      <c r="R8" s="353"/>
      <c r="S8" s="353"/>
      <c r="T8" s="353"/>
      <c r="U8" s="353"/>
      <c r="V8" s="405"/>
      <c r="W8" s="353"/>
      <c r="X8" s="353"/>
      <c r="Y8" s="353"/>
      <c r="Z8" s="405"/>
      <c r="AA8" s="353"/>
      <c r="AB8" s="353"/>
    </row>
    <row r="9" spans="1:32" ht="31" thickBot="1">
      <c r="A9" s="352"/>
      <c r="B9" s="353"/>
      <c r="C9" s="353"/>
      <c r="D9" s="353"/>
      <c r="E9" s="354"/>
      <c r="F9" s="353"/>
      <c r="G9" s="353"/>
      <c r="H9" s="353"/>
      <c r="I9" s="353"/>
      <c r="J9" s="405"/>
      <c r="K9" s="353"/>
      <c r="L9" s="353"/>
      <c r="M9" s="353"/>
      <c r="N9" s="405"/>
      <c r="O9" s="353"/>
      <c r="P9" s="353"/>
      <c r="Q9" s="353"/>
      <c r="R9" s="353"/>
      <c r="S9" s="353"/>
      <c r="T9" s="353"/>
      <c r="U9" s="353"/>
      <c r="V9" s="405"/>
      <c r="W9" s="353"/>
      <c r="X9" s="353"/>
      <c r="Y9" s="353"/>
      <c r="Z9" s="405"/>
      <c r="AA9" s="353"/>
      <c r="AB9" s="353"/>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1055215178.6942942</v>
      </c>
      <c r="AF11" s="18">
        <f>X13*O13</f>
        <v>49089379749.32531</v>
      </c>
    </row>
    <row r="12" spans="1:32" ht="15" customHeight="1" thickBot="1">
      <c r="A12" s="268"/>
      <c r="B12" s="268" t="s">
        <v>48</v>
      </c>
      <c r="C12" s="269">
        <f>SUM(C15:C35)</f>
        <v>1522217115.0014029</v>
      </c>
      <c r="D12" s="269"/>
      <c r="E12" s="269">
        <f>SUM(E15:E35)</f>
        <v>0.36328981551187378</v>
      </c>
      <c r="F12" s="270"/>
      <c r="G12" s="270"/>
      <c r="H12" s="270"/>
      <c r="I12" s="270"/>
      <c r="J12" s="270"/>
      <c r="K12" s="501"/>
      <c r="L12" s="270"/>
      <c r="M12" s="270"/>
      <c r="N12" s="270"/>
      <c r="O12" s="276">
        <f>SUM(O15:O35)</f>
        <v>49829796423.941643</v>
      </c>
      <c r="P12" s="268"/>
      <c r="Q12" s="269">
        <f>SUM(Q15:Q35)</f>
        <v>11.892296684518163</v>
      </c>
      <c r="R12" s="270"/>
      <c r="S12" s="270"/>
      <c r="T12" s="270"/>
      <c r="U12" s="270"/>
      <c r="V12" s="270"/>
      <c r="W12" s="501"/>
      <c r="X12" s="270"/>
      <c r="Y12" s="270"/>
      <c r="Z12" s="270"/>
      <c r="AA12" s="235"/>
      <c r="AB12" s="236"/>
      <c r="AD12" s="16" t="s">
        <v>887</v>
      </c>
      <c r="AE12" s="18">
        <f>K13*C13</f>
        <v>636431287.98739457</v>
      </c>
      <c r="AF12" s="18">
        <f>W13*O13</f>
        <v>894180665.73335278</v>
      </c>
    </row>
    <row r="13" spans="1:32" ht="15" customHeight="1" thickTop="1" thickBot="1">
      <c r="A13" s="271"/>
      <c r="B13" s="271" t="s">
        <v>870</v>
      </c>
      <c r="C13" s="272">
        <f>SUM(C15:C32)</f>
        <v>1700484017.5290737</v>
      </c>
      <c r="D13" s="272"/>
      <c r="E13" s="272">
        <f>SUM(E15:E32)</f>
        <v>0.40583469921664744</v>
      </c>
      <c r="F13" s="282">
        <f>SUMPRODUCT(F15:F32,$C$15:$C$32)/SUM($C$15:$C$32)</f>
        <v>0.96072148784048683</v>
      </c>
      <c r="G13" s="282">
        <f>SUMPRODUCT(G15:G32,$C$15:$C$32)/SUM($C$15:$C$32)</f>
        <v>2.4719375849623523E-2</v>
      </c>
      <c r="H13" s="282">
        <f>SUMPRODUCT(H15:H32,$C$15:$C$32)/SUM($C$15:$C$32)</f>
        <v>1.4559136309889633E-2</v>
      </c>
      <c r="I13" s="282">
        <f>SUMPRODUCT(I15:I32,$C$15:$C$32)/SUM($C$15:$C$32)</f>
        <v>0</v>
      </c>
      <c r="J13" s="430">
        <f>SUM(F13:I13)</f>
        <v>0.99999999999999989</v>
      </c>
      <c r="K13" s="393">
        <f>SUMPRODUCT(K15:K32,$C$15:$C$32)/SUM($C$15:$C$32)</f>
        <v>0.37426478662950052</v>
      </c>
      <c r="L13" s="282">
        <f>SUMPRODUCT(L15:L32,$C$15:$C$32)/SUM($C$15:$C$32)</f>
        <v>0.62053813374123812</v>
      </c>
      <c r="M13" s="282">
        <f>SUMPRODUCT(M15:M32,$C$15:$C$32)/SUM($C$15:$C$32)</f>
        <v>5.1970796292615008E-3</v>
      </c>
      <c r="N13" s="430">
        <f>SUM(K13:M13)</f>
        <v>1.0000000000000002</v>
      </c>
      <c r="O13" s="277">
        <f>SUM(O15:O32)</f>
        <v>50008063326.469315</v>
      </c>
      <c r="P13" s="271"/>
      <c r="Q13" s="272">
        <f>SUM(Q15:Q31)</f>
        <v>11.934841568222936</v>
      </c>
      <c r="R13" s="282">
        <f>SUMPRODUCT(R15:R31,$O$15:$O$31)/SUM($O$15:$O$31)</f>
        <v>0.89402678519593592</v>
      </c>
      <c r="S13" s="282">
        <f>SUMPRODUCT(S15:S31,$O$15:$O$31)/SUM($O$15:$O$31)</f>
        <v>5.7804833601602885E-2</v>
      </c>
      <c r="T13" s="282">
        <f>SUMPRODUCT(T15:T31,$O$15:$O$31)/SUM($O$15:$O$31)</f>
        <v>4.8168381202461155E-2</v>
      </c>
      <c r="U13" s="282">
        <f>SUMPRODUCT(U15:U31,$O$15:$O$31)/SUM($O$15:$O$31)</f>
        <v>0</v>
      </c>
      <c r="V13" s="430">
        <f>SUM(R13:U13)</f>
        <v>1</v>
      </c>
      <c r="W13" s="393">
        <f>SUMPRODUCT(W15:W31,$O$15:$O$31)/SUM($O$15:$O$31)</f>
        <v>1.7880729751437147E-2</v>
      </c>
      <c r="X13" s="282">
        <f>SUMPRODUCT(X15:X31,$O$15:$O$31)/SUM($O$15:$O$31)</f>
        <v>0.98162929103759666</v>
      </c>
      <c r="Y13" s="282">
        <f>SUMPRODUCT(Y15:Y31,$O$15:$O$31)/SUM($O$15:$O$31)</f>
        <v>4.8997921096614124E-4</v>
      </c>
      <c r="Z13" s="430">
        <f>SUM(W13:Y13)</f>
        <v>1</v>
      </c>
      <c r="AA13" s="702"/>
      <c r="AB13" s="703"/>
      <c r="AD13" s="16" t="s">
        <v>888</v>
      </c>
      <c r="AE13" s="18">
        <f>M13*C13</f>
        <v>8837550.8473851066</v>
      </c>
      <c r="AF13" s="18">
        <f>Y13*O13</f>
        <v>24502911.41064826</v>
      </c>
    </row>
    <row r="14" spans="1:32" ht="15" customHeight="1" thickTop="1" thickBot="1">
      <c r="A14" s="224" t="s">
        <v>591</v>
      </c>
      <c r="B14" s="232"/>
      <c r="C14" s="232"/>
      <c r="D14" s="232"/>
      <c r="E14" s="232"/>
      <c r="F14" s="232"/>
      <c r="G14" s="232"/>
      <c r="H14" s="232"/>
      <c r="I14" s="232"/>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32"/>
      <c r="B15" s="232" t="s">
        <v>494</v>
      </c>
      <c r="C15" s="243">
        <f>AA15*D15</f>
        <v>108222451.93026051</v>
      </c>
      <c r="D15" s="243">
        <f>$A$38</f>
        <v>1.5514110049214507E-2</v>
      </c>
      <c r="E15" s="243">
        <f>C15/AB15</f>
        <v>2.5828191135500885E-2</v>
      </c>
      <c r="F15" s="240">
        <v>1</v>
      </c>
      <c r="G15" s="240"/>
      <c r="H15" s="240"/>
      <c r="I15" s="240"/>
      <c r="J15" s="430">
        <f t="shared" ref="J15:J25" si="0">SUM(F15:I15)</f>
        <v>1</v>
      </c>
      <c r="K15" s="299">
        <v>1</v>
      </c>
      <c r="L15" s="300"/>
      <c r="M15" s="240"/>
      <c r="N15" s="430">
        <f>SUM(K15:M15)</f>
        <v>1</v>
      </c>
      <c r="O15" s="677">
        <f t="shared" ref="O15:P17" si="1">C15</f>
        <v>108222451.93026051</v>
      </c>
      <c r="P15" s="243">
        <f t="shared" si="1"/>
        <v>1.5514110049214507E-2</v>
      </c>
      <c r="Q15" s="243">
        <f>O15/AB15</f>
        <v>2.5828191135500885E-2</v>
      </c>
      <c r="R15" s="240">
        <v>1</v>
      </c>
      <c r="S15" s="240"/>
      <c r="T15" s="240"/>
      <c r="U15" s="240"/>
      <c r="V15" s="430">
        <f t="shared" ref="V15:V25" si="2">SUM(R15:U15)</f>
        <v>1</v>
      </c>
      <c r="W15" s="299">
        <v>1</v>
      </c>
      <c r="X15" s="300"/>
      <c r="Y15" s="240"/>
      <c r="Z15" s="430">
        <f>SUM(W15:Y15)</f>
        <v>1</v>
      </c>
      <c r="AA15" s="706">
        <v>6975743473.9700012</v>
      </c>
      <c r="AB15" s="707">
        <f>'Energy data by fuel cycle'!$G$10</f>
        <v>4190090253.0300932</v>
      </c>
      <c r="AD15" s="16" t="s">
        <v>267</v>
      </c>
      <c r="AE15" s="18">
        <f>F13*C13</f>
        <v>1633691535.3695002</v>
      </c>
      <c r="AF15" s="18">
        <f>R13*O13</f>
        <v>44708548089.638145</v>
      </c>
    </row>
    <row r="16" spans="1:32" ht="15" customHeight="1" thickTop="1" thickBot="1">
      <c r="A16" s="223"/>
      <c r="B16" s="232" t="s">
        <v>495</v>
      </c>
      <c r="C16" s="243">
        <f>AA16*D16</f>
        <v>423247859.98957211</v>
      </c>
      <c r="D16" s="243">
        <f>$A$39</f>
        <v>0.14457734134206118</v>
      </c>
      <c r="E16" s="243">
        <f>C16/AB16</f>
        <v>0.10101163326577452</v>
      </c>
      <c r="F16" s="240">
        <v>1</v>
      </c>
      <c r="G16" s="240"/>
      <c r="H16" s="240"/>
      <c r="I16" s="240"/>
      <c r="J16" s="430">
        <f t="shared" si="0"/>
        <v>1</v>
      </c>
      <c r="K16" s="299">
        <v>1</v>
      </c>
      <c r="L16" s="300"/>
      <c r="M16" s="240"/>
      <c r="N16" s="430">
        <f>SUM(K16:M16)</f>
        <v>1</v>
      </c>
      <c r="O16" s="677">
        <f t="shared" si="1"/>
        <v>423247859.98957211</v>
      </c>
      <c r="P16" s="243">
        <f t="shared" si="1"/>
        <v>0.14457734134206118</v>
      </c>
      <c r="Q16" s="243">
        <f>O16/AB16</f>
        <v>0.10101163326577452</v>
      </c>
      <c r="R16" s="240">
        <v>1</v>
      </c>
      <c r="S16" s="240"/>
      <c r="T16" s="240"/>
      <c r="U16" s="240"/>
      <c r="V16" s="430">
        <f t="shared" si="2"/>
        <v>1</v>
      </c>
      <c r="W16" s="299">
        <v>1</v>
      </c>
      <c r="X16" s="300"/>
      <c r="Y16" s="240"/>
      <c r="Z16" s="430">
        <f>SUM(W16:Y16)</f>
        <v>1</v>
      </c>
      <c r="AA16" s="706">
        <v>2927484044.6000004</v>
      </c>
      <c r="AB16" s="707">
        <f>'Energy data by fuel cycle'!$G$10</f>
        <v>4190090253.0300932</v>
      </c>
      <c r="AD16" s="16" t="s">
        <v>654</v>
      </c>
      <c r="AE16" s="18">
        <f>G13*C13</f>
        <v>42034903.555578969</v>
      </c>
      <c r="AF16" s="18">
        <f>S13*O13</f>
        <v>2890707779.3249784</v>
      </c>
    </row>
    <row r="17" spans="1:32" ht="15" customHeight="1" thickTop="1" thickBot="1">
      <c r="A17" s="232"/>
      <c r="B17" s="232" t="s">
        <v>496</v>
      </c>
      <c r="C17" s="243">
        <f>AA17*D17</f>
        <v>28508844.903805252</v>
      </c>
      <c r="D17" s="243">
        <f>$A$40</f>
        <v>2.0791912604615034E-2</v>
      </c>
      <c r="E17" s="243">
        <f>C17/AB17</f>
        <v>6.8038737072999515E-3</v>
      </c>
      <c r="F17" s="240">
        <v>1</v>
      </c>
      <c r="G17" s="240"/>
      <c r="H17" s="240"/>
      <c r="I17" s="240"/>
      <c r="J17" s="430">
        <f t="shared" si="0"/>
        <v>1</v>
      </c>
      <c r="K17" s="299">
        <v>1</v>
      </c>
      <c r="L17" s="300"/>
      <c r="M17" s="240"/>
      <c r="N17" s="430">
        <f>SUM(K17:M17)</f>
        <v>1</v>
      </c>
      <c r="O17" s="677">
        <f t="shared" si="1"/>
        <v>28508844.903805252</v>
      </c>
      <c r="P17" s="243">
        <f t="shared" si="1"/>
        <v>2.0791912604615034E-2</v>
      </c>
      <c r="Q17" s="243">
        <f>O17/AB17</f>
        <v>6.8038737072999515E-3</v>
      </c>
      <c r="R17" s="240">
        <v>1</v>
      </c>
      <c r="S17" s="240"/>
      <c r="T17" s="240"/>
      <c r="U17" s="240"/>
      <c r="V17" s="430">
        <f t="shared" si="2"/>
        <v>1</v>
      </c>
      <c r="W17" s="299">
        <v>1</v>
      </c>
      <c r="X17" s="300"/>
      <c r="Y17" s="240"/>
      <c r="Z17" s="430">
        <f>SUM(W17:Y17)</f>
        <v>1</v>
      </c>
      <c r="AA17" s="706">
        <v>1371150670.2600002</v>
      </c>
      <c r="AB17" s="707">
        <f>'Energy data by fuel cycle'!$G$10</f>
        <v>4190090253.0300932</v>
      </c>
      <c r="AD17" s="16" t="s">
        <v>889</v>
      </c>
      <c r="AE17" s="18">
        <f>H13*C13</f>
        <v>24757578.603994537</v>
      </c>
      <c r="AF17" s="18">
        <f>T13*O13</f>
        <v>2408807457.5061917</v>
      </c>
    </row>
    <row r="18" spans="1:32" ht="15" customHeight="1" thickTop="1">
      <c r="A18" s="232"/>
      <c r="B18" s="232" t="s">
        <v>485</v>
      </c>
      <c r="C18" s="243" t="s">
        <v>412</v>
      </c>
      <c r="D18" s="284"/>
      <c r="E18" s="284"/>
      <c r="F18" s="240"/>
      <c r="G18" s="240"/>
      <c r="H18" s="240"/>
      <c r="I18" s="240"/>
      <c r="J18" s="431"/>
      <c r="K18" s="301"/>
      <c r="L18" s="244"/>
      <c r="M18" s="232"/>
      <c r="N18" s="431"/>
      <c r="O18" s="680"/>
      <c r="P18" s="284"/>
      <c r="Q18" s="284"/>
      <c r="R18" s="240"/>
      <c r="S18" s="240"/>
      <c r="T18" s="240"/>
      <c r="U18" s="240"/>
      <c r="V18" s="431"/>
      <c r="W18" s="299"/>
      <c r="X18" s="300"/>
      <c r="Y18" s="240"/>
      <c r="Z18" s="431"/>
      <c r="AA18" s="706"/>
      <c r="AB18" s="707"/>
      <c r="AD18" s="16" t="s">
        <v>890</v>
      </c>
      <c r="AE18" s="18">
        <f>I13*C13</f>
        <v>0</v>
      </c>
      <c r="AF18" s="18">
        <f>U13*O13</f>
        <v>0</v>
      </c>
    </row>
    <row r="19" spans="1:32" ht="15" customHeight="1">
      <c r="A19" s="232"/>
      <c r="B19" s="232" t="s">
        <v>497</v>
      </c>
      <c r="C19" s="243" t="s">
        <v>412</v>
      </c>
      <c r="D19" s="284"/>
      <c r="E19" s="284"/>
      <c r="F19" s="240"/>
      <c r="G19" s="240"/>
      <c r="H19" s="240"/>
      <c r="I19" s="240"/>
      <c r="J19" s="431"/>
      <c r="K19" s="301"/>
      <c r="L19" s="244"/>
      <c r="M19" s="232"/>
      <c r="N19" s="431"/>
      <c r="O19" s="680"/>
      <c r="P19" s="284"/>
      <c r="Q19" s="284"/>
      <c r="R19" s="240"/>
      <c r="S19" s="240"/>
      <c r="T19" s="240"/>
      <c r="U19" s="240"/>
      <c r="V19" s="431"/>
      <c r="W19" s="299"/>
      <c r="X19" s="300"/>
      <c r="Y19" s="240"/>
      <c r="Z19" s="431"/>
      <c r="AA19" s="706"/>
      <c r="AB19" s="707"/>
    </row>
    <row r="20" spans="1:32" ht="15" customHeight="1">
      <c r="A20" s="232"/>
      <c r="B20" s="232" t="s">
        <v>486</v>
      </c>
      <c r="C20" s="256">
        <v>0</v>
      </c>
      <c r="D20" s="284"/>
      <c r="E20" s="284"/>
      <c r="F20" s="240"/>
      <c r="G20" s="240"/>
      <c r="H20" s="240"/>
      <c r="I20" s="240"/>
      <c r="J20" s="431"/>
      <c r="K20" s="301"/>
      <c r="L20" s="244"/>
      <c r="M20" s="232"/>
      <c r="N20" s="431"/>
      <c r="O20" s="685">
        <v>0</v>
      </c>
      <c r="P20" s="284"/>
      <c r="Q20" s="284"/>
      <c r="R20" s="240"/>
      <c r="S20" s="240"/>
      <c r="T20" s="240"/>
      <c r="U20" s="240"/>
      <c r="V20" s="431"/>
      <c r="W20" s="299"/>
      <c r="X20" s="300"/>
      <c r="Y20" s="240"/>
      <c r="Z20" s="431"/>
      <c r="AA20" s="706"/>
      <c r="AB20" s="707"/>
      <c r="AD20" s="16" t="s">
        <v>614</v>
      </c>
      <c r="AE20" s="419">
        <f>SUM(C15:C17)</f>
        <v>559979156.82363784</v>
      </c>
      <c r="AF20" s="419">
        <f>SUM(O15:O17)</f>
        <v>559979156.82363784</v>
      </c>
    </row>
    <row r="21" spans="1:32" ht="15" customHeight="1">
      <c r="A21" s="232"/>
      <c r="B21" s="232"/>
      <c r="C21" s="284"/>
      <c r="D21" s="284"/>
      <c r="E21" s="284"/>
      <c r="F21" s="240"/>
      <c r="G21" s="240"/>
      <c r="H21" s="240"/>
      <c r="I21" s="240"/>
      <c r="J21" s="431"/>
      <c r="K21" s="301"/>
      <c r="L21" s="244"/>
      <c r="M21" s="232"/>
      <c r="N21" s="431"/>
      <c r="O21" s="679"/>
      <c r="P21" s="284"/>
      <c r="Q21" s="284"/>
      <c r="R21" s="240"/>
      <c r="S21" s="240"/>
      <c r="T21" s="240"/>
      <c r="U21" s="240"/>
      <c r="V21" s="431"/>
      <c r="W21" s="299"/>
      <c r="X21" s="300"/>
      <c r="Y21" s="240"/>
      <c r="Z21" s="431"/>
      <c r="AA21" s="706"/>
      <c r="AB21" s="707"/>
      <c r="AD21" s="16" t="s">
        <v>82</v>
      </c>
      <c r="AE21" s="419">
        <f>SUM(C23:C25)</f>
        <v>59578570.360984847</v>
      </c>
      <c r="AF21" s="419">
        <f>SUM(O23:O25)</f>
        <v>744732129.5123105</v>
      </c>
    </row>
    <row r="22" spans="1:32" ht="15" customHeight="1" thickBot="1">
      <c r="A22" s="221" t="s">
        <v>66</v>
      </c>
      <c r="B22" s="232"/>
      <c r="C22" s="284"/>
      <c r="D22" s="284"/>
      <c r="E22" s="284"/>
      <c r="F22" s="240"/>
      <c r="G22" s="240"/>
      <c r="H22" s="240"/>
      <c r="I22" s="240"/>
      <c r="J22" s="431"/>
      <c r="K22" s="301"/>
      <c r="L22" s="244"/>
      <c r="M22" s="232"/>
      <c r="N22" s="431"/>
      <c r="O22" s="679"/>
      <c r="P22" s="284"/>
      <c r="Q22" s="284"/>
      <c r="R22" s="240"/>
      <c r="S22" s="240"/>
      <c r="T22" s="240"/>
      <c r="U22" s="240"/>
      <c r="V22" s="431"/>
      <c r="W22" s="299"/>
      <c r="X22" s="300"/>
      <c r="Y22" s="240"/>
      <c r="Z22" s="431"/>
      <c r="AA22" s="706"/>
      <c r="AB22" s="707"/>
      <c r="AD22" s="16" t="s">
        <v>891</v>
      </c>
    </row>
    <row r="23" spans="1:32" ht="15" customHeight="1" thickTop="1" thickBot="1">
      <c r="A23" s="232"/>
      <c r="B23" s="232" t="s">
        <v>498</v>
      </c>
      <c r="C23" s="243">
        <f>AA23*D23</f>
        <v>32050038.612355459</v>
      </c>
      <c r="D23" s="243">
        <v>6.4802140617637744E-3</v>
      </c>
      <c r="E23" s="243">
        <f>C23/AB23</f>
        <v>7.6490091327217234E-3</v>
      </c>
      <c r="F23" s="240">
        <v>1</v>
      </c>
      <c r="G23" s="240"/>
      <c r="H23" s="240"/>
      <c r="I23" s="240"/>
      <c r="J23" s="430">
        <f t="shared" si="0"/>
        <v>1</v>
      </c>
      <c r="K23" s="299">
        <v>0.35</v>
      </c>
      <c r="L23" s="300">
        <v>0.65</v>
      </c>
      <c r="M23" s="240"/>
      <c r="N23" s="430">
        <f>SUM(K23:M23)</f>
        <v>1</v>
      </c>
      <c r="O23" s="677">
        <f>AA23*P23</f>
        <v>400625482.6544432</v>
      </c>
      <c r="P23" s="243">
        <v>8.1002675772047172E-2</v>
      </c>
      <c r="Q23" s="243">
        <f>O23/AB23</f>
        <v>9.5612614159021531E-2</v>
      </c>
      <c r="R23" s="240">
        <v>1</v>
      </c>
      <c r="S23" s="240"/>
      <c r="T23" s="240"/>
      <c r="U23" s="240"/>
      <c r="V23" s="430">
        <f t="shared" si="2"/>
        <v>1</v>
      </c>
      <c r="W23" s="299">
        <v>0.35</v>
      </c>
      <c r="X23" s="300">
        <v>0.65</v>
      </c>
      <c r="Y23" s="240"/>
      <c r="Z23" s="430">
        <f>SUM(W23:Y23)</f>
        <v>1</v>
      </c>
      <c r="AA23" s="706">
        <v>4945830231.3600006</v>
      </c>
      <c r="AB23" s="707">
        <f>'Energy data by fuel cycle'!$G$10</f>
        <v>4190090253.0300932</v>
      </c>
      <c r="AD23" s="16" t="s">
        <v>892</v>
      </c>
      <c r="AE23" s="419">
        <f>SUM(C28)</f>
        <v>797559286.27680087</v>
      </c>
      <c r="AF23" s="419">
        <f>O28</f>
        <v>48661493678.220146</v>
      </c>
    </row>
    <row r="24" spans="1:32" ht="15" customHeight="1" thickTop="1" thickBot="1">
      <c r="A24" s="232"/>
      <c r="B24" s="232" t="s">
        <v>499</v>
      </c>
      <c r="C24" s="243">
        <f>AA24*D24</f>
        <v>22226202.414460666</v>
      </c>
      <c r="D24" s="243">
        <v>7.6440861521185587E-3</v>
      </c>
      <c r="E24" s="243">
        <f>C24/AB24</f>
        <v>5.3044686563463953E-3</v>
      </c>
      <c r="F24" s="240">
        <v>1</v>
      </c>
      <c r="G24" s="240"/>
      <c r="H24" s="240"/>
      <c r="I24" s="240"/>
      <c r="J24" s="430">
        <f t="shared" si="0"/>
        <v>1</v>
      </c>
      <c r="K24" s="299">
        <v>0.35</v>
      </c>
      <c r="L24" s="300">
        <v>0.65</v>
      </c>
      <c r="M24" s="240"/>
      <c r="N24" s="430">
        <f>SUM(K24:M24)</f>
        <v>1</v>
      </c>
      <c r="O24" s="677">
        <f>AA24*P24</f>
        <v>277827530.1807583</v>
      </c>
      <c r="P24" s="243">
        <v>9.5551076901481971E-2</v>
      </c>
      <c r="Q24" s="243">
        <f>O24/AB24</f>
        <v>6.6305858204329937E-2</v>
      </c>
      <c r="R24" s="240">
        <v>1</v>
      </c>
      <c r="S24" s="240"/>
      <c r="T24" s="240"/>
      <c r="U24" s="240"/>
      <c r="V24" s="430">
        <f t="shared" si="2"/>
        <v>1</v>
      </c>
      <c r="W24" s="299">
        <v>0.35</v>
      </c>
      <c r="X24" s="300">
        <v>0.65</v>
      </c>
      <c r="Y24" s="240"/>
      <c r="Z24" s="430">
        <f>SUM(W24:Y24)</f>
        <v>1</v>
      </c>
      <c r="AA24" s="706">
        <v>2907633688.6000004</v>
      </c>
      <c r="AB24" s="707">
        <f>'Energy data by fuel cycle'!$G$10</f>
        <v>4190090253.0300932</v>
      </c>
      <c r="AD24" s="16" t="s">
        <v>893</v>
      </c>
      <c r="AE24" s="419">
        <f>SUM(C31,C32)</f>
        <v>283367004.06765032</v>
      </c>
      <c r="AF24" s="18">
        <f>SUM(O31,O32)</f>
        <v>41858361.913219959</v>
      </c>
    </row>
    <row r="25" spans="1:32" ht="15" customHeight="1" thickTop="1" thickBot="1">
      <c r="A25" s="232"/>
      <c r="B25" s="232" t="s">
        <v>500</v>
      </c>
      <c r="C25" s="243">
        <f>AA25*D25</f>
        <v>5302329.334168721</v>
      </c>
      <c r="D25" s="243">
        <v>7.5727960833171593E-3</v>
      </c>
      <c r="E25" s="243">
        <f>C25/AB25</f>
        <v>1.2654451369715257E-3</v>
      </c>
      <c r="F25" s="240">
        <v>1</v>
      </c>
      <c r="G25" s="240"/>
      <c r="H25" s="240"/>
      <c r="I25" s="240"/>
      <c r="J25" s="430">
        <f t="shared" si="0"/>
        <v>1</v>
      </c>
      <c r="K25" s="299">
        <v>0.35</v>
      </c>
      <c r="L25" s="300">
        <v>0.65</v>
      </c>
      <c r="M25" s="240"/>
      <c r="N25" s="430">
        <f>SUM(K25:M25)</f>
        <v>1</v>
      </c>
      <c r="O25" s="677">
        <f>AA25*P25</f>
        <v>66279116.677109011</v>
      </c>
      <c r="P25" s="243">
        <v>9.4659951041464491E-2</v>
      </c>
      <c r="Q25" s="243">
        <f>O25/AB25</f>
        <v>1.5818064212144069E-2</v>
      </c>
      <c r="R25" s="240">
        <v>1</v>
      </c>
      <c r="S25" s="240"/>
      <c r="T25" s="240"/>
      <c r="U25" s="240"/>
      <c r="V25" s="430">
        <f t="shared" si="2"/>
        <v>1</v>
      </c>
      <c r="W25" s="299">
        <v>0.35</v>
      </c>
      <c r="X25" s="300">
        <v>0.65</v>
      </c>
      <c r="Y25" s="240"/>
      <c r="Z25" s="430">
        <f>SUM(W25:Y25)</f>
        <v>1</v>
      </c>
      <c r="AA25" s="706">
        <v>700181184.84000015</v>
      </c>
      <c r="AB25" s="707">
        <f>'Energy data by fuel cycle'!$G$10</f>
        <v>4190090253.0300932</v>
      </c>
    </row>
    <row r="26" spans="1:32" ht="15" customHeight="1" thickTop="1">
      <c r="A26" s="232"/>
      <c r="B26" s="232"/>
      <c r="C26" s="284"/>
      <c r="D26" s="284"/>
      <c r="E26" s="284"/>
      <c r="F26" s="240"/>
      <c r="G26" s="240"/>
      <c r="H26" s="240"/>
      <c r="I26" s="240"/>
      <c r="J26" s="425"/>
      <c r="K26" s="299"/>
      <c r="L26" s="300"/>
      <c r="M26" s="240"/>
      <c r="N26" s="425"/>
      <c r="O26" s="679"/>
      <c r="P26" s="284"/>
      <c r="Q26" s="284"/>
      <c r="R26" s="240"/>
      <c r="S26" s="240"/>
      <c r="T26" s="240"/>
      <c r="U26" s="240"/>
      <c r="V26" s="425"/>
      <c r="W26" s="299"/>
      <c r="X26" s="300"/>
      <c r="Y26" s="240"/>
      <c r="Z26" s="425"/>
      <c r="AA26" s="706"/>
      <c r="AB26" s="707"/>
    </row>
    <row r="27" spans="1:32" ht="15" customHeight="1" thickBot="1">
      <c r="A27" s="222" t="s">
        <v>68</v>
      </c>
      <c r="B27" s="232"/>
      <c r="C27" s="284"/>
      <c r="D27" s="284"/>
      <c r="E27" s="284"/>
      <c r="F27" s="240"/>
      <c r="G27" s="240"/>
      <c r="H27" s="240"/>
      <c r="I27" s="240"/>
      <c r="J27" s="425"/>
      <c r="K27" s="299"/>
      <c r="L27" s="300"/>
      <c r="M27" s="240"/>
      <c r="N27" s="425"/>
      <c r="O27" s="679"/>
      <c r="P27" s="284"/>
      <c r="Q27" s="284"/>
      <c r="R27" s="240"/>
      <c r="S27" s="240"/>
      <c r="T27" s="240"/>
      <c r="U27" s="240"/>
      <c r="V27" s="425"/>
      <c r="W27" s="299"/>
      <c r="X27" s="300"/>
      <c r="Y27" s="240"/>
      <c r="Z27" s="425"/>
      <c r="AA27" s="706"/>
      <c r="AB27" s="707"/>
    </row>
    <row r="28" spans="1:32" ht="15" customHeight="1" thickTop="1" thickBot="1">
      <c r="A28" s="232"/>
      <c r="B28" s="232" t="s">
        <v>487</v>
      </c>
      <c r="C28" s="243">
        <f>SUM('Sankey conversion input'!$E$49:$E$60)-C32-C31</f>
        <v>797559286.27680087</v>
      </c>
      <c r="D28" s="243">
        <f>C28/AA28</f>
        <v>8.0531309791249908E-2</v>
      </c>
      <c r="E28" s="243">
        <f>C28/AB28</f>
        <v>0.19034417831454592</v>
      </c>
      <c r="F28" s="281">
        <f>('Absolute Volume'!K107+'Absolute Volume'!K103+'Absolute Volume'!K111)/C28</f>
        <v>0.93571884923787818</v>
      </c>
      <c r="G28" s="281">
        <f>('Absolute Volume'!K108+'Absolute Volume'!K104+'Absolute Volume'!K112)/C28</f>
        <v>4.0454432675102021E-2</v>
      </c>
      <c r="H28" s="281">
        <f>('Absolute Volume'!K109+'Absolute Volume'!K105+'Absolute Volume'!K113)/C28</f>
        <v>2.3826718087019728E-2</v>
      </c>
      <c r="I28" s="332"/>
      <c r="J28" s="430">
        <f t="shared" ref="J28" si="3">SUM(F28:I28)</f>
        <v>1</v>
      </c>
      <c r="K28" s="299">
        <f>SUM('Absolute Volume'!K103:K106)/C28</f>
        <v>5.3448307987712509E-2</v>
      </c>
      <c r="L28" s="300">
        <f>SUM('Absolute Volume'!K107:K110)/C28</f>
        <v>0.93806669171047175</v>
      </c>
      <c r="M28" s="240">
        <f>SUM('Absolute Volume'!K111:K114)/C28</f>
        <v>8.485000301815749E-3</v>
      </c>
      <c r="N28" s="430">
        <f>SUM(K28:M28)</f>
        <v>1</v>
      </c>
      <c r="O28" s="677">
        <f>SUM('Sankey conversion input'!$D$49:$D$60)-O32-O31</f>
        <v>48661493678.220146</v>
      </c>
      <c r="P28" s="243">
        <f>O28/AA28</f>
        <v>4.913457707450787</v>
      </c>
      <c r="Q28" s="243">
        <f>O28/AB28</f>
        <v>11.613471486212079</v>
      </c>
      <c r="R28" s="240">
        <f>('Absolute Volume'!L107+'Absolute Volume'!L103+'Absolute Volume'!L111)/O28</f>
        <v>0.89109427524204587</v>
      </c>
      <c r="S28" s="240">
        <f>('Absolute Volume'!L108+'Absolute Volume'!L104+'Absolute Volume'!L112)/O28</f>
        <v>5.9404419404799277E-2</v>
      </c>
      <c r="T28" s="240">
        <f>('Absolute Volume'!L109+'Absolute Volume'!L105+'Absolute Volume'!L113)/O28</f>
        <v>4.950130535315489E-2</v>
      </c>
      <c r="U28" s="325"/>
      <c r="V28" s="430">
        <f>SUM(R28:U28)</f>
        <v>1</v>
      </c>
      <c r="W28" s="442">
        <f>SUM('Absolute Volume'!L103:L106)/O28</f>
        <v>1.5100657449573956E-3</v>
      </c>
      <c r="X28" s="444">
        <f>SUM('Absolute Volume'!L107:L110)/O28</f>
        <v>0.9979868290192786</v>
      </c>
      <c r="Y28" s="247">
        <f>SUM('Absolute Volume'!L111:L114)/O28</f>
        <v>5.031052357639973E-4</v>
      </c>
      <c r="Z28" s="430">
        <f>SUM(W28:Y28)</f>
        <v>1</v>
      </c>
      <c r="AA28" s="706">
        <f>'Energy data by fuel cycle'!$E$10</f>
        <v>9903716807.0928268</v>
      </c>
      <c r="AB28" s="707">
        <f>'Energy data by fuel cycle'!$G$10</f>
        <v>4190090253.0300932</v>
      </c>
    </row>
    <row r="29" spans="1:32" ht="15" customHeight="1" thickTop="1">
      <c r="A29" s="232"/>
      <c r="B29" s="232"/>
      <c r="C29" s="284"/>
      <c r="D29" s="284"/>
      <c r="E29" s="284"/>
      <c r="F29" s="240"/>
      <c r="G29" s="240"/>
      <c r="H29" s="240"/>
      <c r="I29" s="240"/>
      <c r="J29" s="425"/>
      <c r="K29" s="299"/>
      <c r="L29" s="300"/>
      <c r="M29" s="240"/>
      <c r="N29" s="425"/>
      <c r="O29" s="679"/>
      <c r="P29" s="284"/>
      <c r="Q29" s="284"/>
      <c r="R29" s="240"/>
      <c r="S29" s="240"/>
      <c r="T29" s="240"/>
      <c r="U29" s="240"/>
      <c r="V29" s="425"/>
      <c r="W29" s="299"/>
      <c r="X29" s="300"/>
      <c r="Y29" s="240"/>
      <c r="Z29" s="425"/>
      <c r="AA29" s="706"/>
      <c r="AB29" s="707"/>
    </row>
    <row r="30" spans="1:32" ht="15" customHeight="1" thickBot="1">
      <c r="A30" s="218" t="s">
        <v>69</v>
      </c>
      <c r="B30" s="232"/>
      <c r="C30" s="284"/>
      <c r="D30" s="284"/>
      <c r="E30" s="284"/>
      <c r="F30" s="240"/>
      <c r="G30" s="240"/>
      <c r="H30" s="240"/>
      <c r="I30" s="240"/>
      <c r="J30" s="425"/>
      <c r="K30" s="299"/>
      <c r="L30" s="300"/>
      <c r="M30" s="240"/>
      <c r="N30" s="425"/>
      <c r="O30" s="679"/>
      <c r="P30" s="284"/>
      <c r="Q30" s="284"/>
      <c r="R30" s="240"/>
      <c r="S30" s="240"/>
      <c r="T30" s="240"/>
      <c r="U30" s="240"/>
      <c r="V30" s="425"/>
      <c r="W30" s="299"/>
      <c r="X30" s="300"/>
      <c r="Y30" s="240"/>
      <c r="Z30" s="425"/>
      <c r="AA30" s="706"/>
      <c r="AB30" s="707"/>
    </row>
    <row r="31" spans="1:32" ht="15" customHeight="1" thickTop="1" thickBot="1">
      <c r="A31" s="232"/>
      <c r="B31" s="232" t="s">
        <v>489</v>
      </c>
      <c r="C31" s="243">
        <f>'Intermediate coal entries'!D10</f>
        <v>41858361.913219959</v>
      </c>
      <c r="D31" s="243">
        <f>C31/AA31</f>
        <v>0.42062172780103074</v>
      </c>
      <c r="E31" s="243">
        <f>C31/AB31</f>
        <v>9.9898473267848557E-3</v>
      </c>
      <c r="F31" s="240">
        <v>1</v>
      </c>
      <c r="G31" s="240"/>
      <c r="H31" s="240"/>
      <c r="I31" s="240"/>
      <c r="J31" s="430">
        <f>SUM(F31:I31)</f>
        <v>1</v>
      </c>
      <c r="K31" s="509">
        <f>W28</f>
        <v>1.5100657449573956E-3</v>
      </c>
      <c r="L31" s="441">
        <f>X28</f>
        <v>0.9979868290192786</v>
      </c>
      <c r="M31" s="441">
        <f t="shared" ref="M31" si="4">Y28</f>
        <v>5.031052357639973E-4</v>
      </c>
      <c r="N31" s="430">
        <f>SUM(K31:M31)</f>
        <v>1</v>
      </c>
      <c r="O31" s="677">
        <f>C31</f>
        <v>41858361.913219959</v>
      </c>
      <c r="P31" s="243">
        <f>O31/AA31</f>
        <v>0.42062172780103074</v>
      </c>
      <c r="Q31" s="243">
        <f>O31/AB31</f>
        <v>9.9898473267848557E-3</v>
      </c>
      <c r="R31" s="240">
        <v>1</v>
      </c>
      <c r="S31" s="240"/>
      <c r="T31" s="240"/>
      <c r="U31" s="240"/>
      <c r="V31" s="430">
        <f>SUM(R31:U31)</f>
        <v>1</v>
      </c>
      <c r="W31" s="507">
        <f>SUM('Sankey conversion input'!$D$53:$D$56)/SUM($O$28,O31:O32)</f>
        <v>1.5100657449573954E-3</v>
      </c>
      <c r="X31" s="350">
        <f>SUM('Sankey conversion input'!$D$49:$D$52)/SUM($O$28,O31:O32)</f>
        <v>0.99798682901927849</v>
      </c>
      <c r="Y31" s="350">
        <f>SUM('Sankey conversion input'!$D$57:$D$60)/SUM($O$28,O31:O32)</f>
        <v>5.031052357639973E-4</v>
      </c>
      <c r="Z31" s="430">
        <f>SUM(W31:Y31)</f>
        <v>0.99999999999999989</v>
      </c>
      <c r="AA31" s="706">
        <v>99515453.307776988</v>
      </c>
      <c r="AB31" s="707">
        <f>'Energy data by fuel cycle'!$G$10</f>
        <v>4190090253.0300932</v>
      </c>
    </row>
    <row r="32" spans="1:32" ht="15" customHeight="1" thickTop="1" thickBot="1">
      <c r="A32" s="232"/>
      <c r="B32" s="254" t="s">
        <v>488</v>
      </c>
      <c r="C32" s="243">
        <f>'Intermediate coal entries'!$C$4</f>
        <v>241508642.15443036</v>
      </c>
      <c r="D32" s="243">
        <f>C32/AA32</f>
        <v>3.4078005269034234E-2</v>
      </c>
      <c r="E32" s="243">
        <f>C32/AB32</f>
        <v>5.7638052540701645E-2</v>
      </c>
      <c r="F32" s="347">
        <f>F28</f>
        <v>0.93571884923787818</v>
      </c>
      <c r="G32" s="347">
        <f>G28</f>
        <v>4.0454432675102021E-2</v>
      </c>
      <c r="H32" s="347">
        <f>H28</f>
        <v>2.3826718087019728E-2</v>
      </c>
      <c r="I32" s="351"/>
      <c r="J32" s="430">
        <f>SUM(F32:I32)</f>
        <v>1</v>
      </c>
      <c r="K32" s="511">
        <f>K28</f>
        <v>5.3448307987712509E-2</v>
      </c>
      <c r="L32" s="347">
        <f>L28</f>
        <v>0.93806669171047175</v>
      </c>
      <c r="M32" s="347">
        <f>M28</f>
        <v>8.485000301815749E-3</v>
      </c>
      <c r="N32" s="430">
        <f>SUM(K32:M32)</f>
        <v>1</v>
      </c>
      <c r="O32" s="687">
        <v>0</v>
      </c>
      <c r="P32" s="284"/>
      <c r="Q32" s="284"/>
      <c r="R32" s="240"/>
      <c r="S32" s="240"/>
      <c r="T32" s="240"/>
      <c r="U32" s="240"/>
      <c r="V32" s="431"/>
      <c r="W32" s="299"/>
      <c r="X32" s="240"/>
      <c r="Y32" s="240"/>
      <c r="Z32" s="431"/>
      <c r="AA32" s="706">
        <v>7086935994.2814131</v>
      </c>
      <c r="AB32" s="707">
        <f>'Energy data by fuel cycle'!$G$10</f>
        <v>4190090253.0300932</v>
      </c>
    </row>
    <row r="33" spans="1:28" ht="15" customHeight="1" thickTop="1">
      <c r="A33" s="232"/>
      <c r="B33" s="232"/>
      <c r="C33" s="232"/>
      <c r="D33" s="232"/>
      <c r="E33" s="232"/>
      <c r="F33" s="232"/>
      <c r="G33" s="232"/>
      <c r="H33" s="232"/>
      <c r="I33" s="232"/>
      <c r="J33" s="431"/>
      <c r="K33" s="301"/>
      <c r="L33" s="232"/>
      <c r="M33" s="232"/>
      <c r="N33" s="431"/>
      <c r="O33" s="680"/>
      <c r="P33" s="232"/>
      <c r="Q33" s="232"/>
      <c r="R33" s="232"/>
      <c r="S33" s="232"/>
      <c r="T33" s="232"/>
      <c r="U33" s="232"/>
      <c r="V33" s="431"/>
      <c r="W33" s="301"/>
      <c r="X33" s="232"/>
      <c r="Y33" s="232"/>
      <c r="Z33" s="431"/>
      <c r="AA33" s="301"/>
      <c r="AB33" s="708"/>
    </row>
    <row r="34" spans="1:28" ht="15" customHeight="1" thickBot="1">
      <c r="A34" s="257" t="s">
        <v>413</v>
      </c>
      <c r="B34" s="232"/>
      <c r="C34" s="232"/>
      <c r="D34" s="232"/>
      <c r="E34" s="232"/>
      <c r="F34" s="232"/>
      <c r="G34" s="232"/>
      <c r="H34" s="232"/>
      <c r="I34" s="232"/>
      <c r="J34" s="431"/>
      <c r="K34" s="301"/>
      <c r="L34" s="232"/>
      <c r="M34" s="232"/>
      <c r="N34" s="431"/>
      <c r="O34" s="680"/>
      <c r="P34" s="232"/>
      <c r="Q34" s="232"/>
      <c r="R34" s="232"/>
      <c r="S34" s="232"/>
      <c r="T34" s="232"/>
      <c r="U34" s="232"/>
      <c r="V34" s="232"/>
      <c r="W34" s="301"/>
      <c r="X34" s="232"/>
      <c r="Y34" s="232"/>
      <c r="Z34" s="232"/>
      <c r="AA34" s="301"/>
      <c r="AB34" s="708"/>
    </row>
    <row r="35" spans="1:28" ht="15" customHeight="1" thickTop="1" thickBot="1">
      <c r="A35" s="232"/>
      <c r="B35" s="232" t="s">
        <v>413</v>
      </c>
      <c r="C35" s="243">
        <f>D35*AA35</f>
        <v>-178266902.52767086</v>
      </c>
      <c r="D35" s="243">
        <v>-1.7999999999999999E-2</v>
      </c>
      <c r="E35" s="243">
        <f>C35/AB35</f>
        <v>-4.2544883704773641E-2</v>
      </c>
      <c r="F35" s="240">
        <v>1</v>
      </c>
      <c r="G35" s="240"/>
      <c r="H35" s="240"/>
      <c r="I35" s="240"/>
      <c r="J35" s="430">
        <f>SUM(F35:I35)</f>
        <v>1</v>
      </c>
      <c r="K35" s="299"/>
      <c r="L35" s="240">
        <v>1</v>
      </c>
      <c r="M35" s="240"/>
      <c r="N35" s="430">
        <f>SUM(K35:M35)</f>
        <v>1</v>
      </c>
      <c r="O35" s="677">
        <f>AA35*P35</f>
        <v>-178266902.52767086</v>
      </c>
      <c r="P35" s="243">
        <f>D35</f>
        <v>-1.7999999999999999E-2</v>
      </c>
      <c r="Q35" s="243">
        <f>O35/AB35</f>
        <v>-4.2544883704773641E-2</v>
      </c>
      <c r="R35" s="240">
        <v>1</v>
      </c>
      <c r="S35" s="240"/>
      <c r="T35" s="240"/>
      <c r="U35" s="240"/>
      <c r="V35" s="430">
        <f>SUM(R35:U35)</f>
        <v>1</v>
      </c>
      <c r="W35" s="299"/>
      <c r="X35" s="240">
        <v>1</v>
      </c>
      <c r="Y35" s="240"/>
      <c r="Z35" s="430">
        <f>SUM(W35:Y35)</f>
        <v>1</v>
      </c>
      <c r="AA35" s="709">
        <f>'Energy data by fuel cycle'!$E$10</f>
        <v>9903716807.0928268</v>
      </c>
      <c r="AB35" s="710">
        <f>'Energy data by fuel cycle'!$G$10</f>
        <v>4190090253.0300932</v>
      </c>
    </row>
    <row r="36" spans="1:28" ht="15" customHeight="1" thickTop="1">
      <c r="A36" s="232"/>
      <c r="B36" s="232"/>
      <c r="C36" s="232"/>
      <c r="D36" s="232"/>
      <c r="E36" s="232"/>
      <c r="F36" s="232"/>
      <c r="G36" s="232"/>
      <c r="H36" s="232"/>
      <c r="I36" s="232"/>
      <c r="J36" s="431"/>
      <c r="K36" s="232"/>
      <c r="L36" s="232"/>
      <c r="M36" s="232"/>
      <c r="N36" s="431"/>
      <c r="O36" s="232"/>
      <c r="P36" s="232"/>
      <c r="Q36" s="232"/>
      <c r="R36" s="232"/>
      <c r="S36" s="232"/>
      <c r="T36" s="232"/>
      <c r="U36" s="232"/>
      <c r="V36" s="431"/>
      <c r="W36" s="232"/>
      <c r="X36" s="232"/>
      <c r="Y36" s="232"/>
      <c r="Z36" s="428"/>
      <c r="AA36" s="232"/>
      <c r="AB36" s="232"/>
    </row>
    <row r="37" spans="1:28" ht="15" customHeight="1">
      <c r="A37" s="251" t="s">
        <v>414</v>
      </c>
      <c r="B37" s="232"/>
      <c r="C37" s="232"/>
      <c r="D37" s="232"/>
      <c r="E37" s="232"/>
      <c r="F37" s="232"/>
      <c r="G37" s="232"/>
      <c r="H37" s="232"/>
      <c r="I37" s="232"/>
      <c r="J37" s="431"/>
      <c r="K37" s="232"/>
      <c r="L37" s="232"/>
      <c r="M37" s="232"/>
      <c r="N37" s="431"/>
      <c r="O37" s="232"/>
      <c r="P37" s="232"/>
      <c r="Q37" s="232"/>
      <c r="R37" s="232"/>
      <c r="S37" s="232"/>
      <c r="T37" s="232"/>
      <c r="U37" s="232"/>
      <c r="V37" s="431"/>
      <c r="W37" s="232"/>
      <c r="X37" s="232"/>
      <c r="Y37" s="232"/>
      <c r="Z37" s="431"/>
      <c r="AA37" s="232"/>
      <c r="AB37" s="232"/>
    </row>
    <row r="38" spans="1:28" ht="15" customHeight="1">
      <c r="A38" s="254">
        <v>1.5514110049214507E-2</v>
      </c>
      <c r="B38" s="255" t="s">
        <v>490</v>
      </c>
      <c r="C38" s="255" t="s">
        <v>166</v>
      </c>
      <c r="D38" s="232"/>
      <c r="E38" s="232"/>
      <c r="F38" s="232"/>
      <c r="G38" s="232"/>
      <c r="H38" s="232"/>
      <c r="I38" s="232"/>
      <c r="J38" s="431"/>
      <c r="K38" s="232"/>
      <c r="L38" s="232"/>
      <c r="M38" s="232"/>
      <c r="N38" s="431"/>
      <c r="O38" s="232"/>
      <c r="P38" s="232"/>
      <c r="Q38" s="232"/>
      <c r="R38" s="232"/>
      <c r="S38" s="232"/>
      <c r="T38" s="232"/>
      <c r="U38" s="232"/>
      <c r="V38" s="431"/>
      <c r="W38" s="232"/>
      <c r="X38" s="232"/>
      <c r="Y38" s="232"/>
      <c r="Z38" s="431"/>
      <c r="AA38" s="232"/>
      <c r="AB38" s="232"/>
    </row>
    <row r="39" spans="1:28" ht="15" customHeight="1">
      <c r="A39" s="254">
        <v>0.14457734134206118</v>
      </c>
      <c r="B39" s="255" t="s">
        <v>490</v>
      </c>
      <c r="C39" s="255" t="s">
        <v>501</v>
      </c>
      <c r="D39" s="232"/>
      <c r="E39" s="232"/>
      <c r="F39" s="232"/>
      <c r="G39" s="232"/>
      <c r="H39" s="232"/>
      <c r="I39" s="232"/>
      <c r="J39" s="431"/>
      <c r="K39" s="232"/>
      <c r="L39" s="232"/>
      <c r="M39" s="232"/>
      <c r="N39" s="431"/>
      <c r="O39" s="232"/>
      <c r="P39" s="232"/>
      <c r="Q39" s="232"/>
      <c r="R39" s="232"/>
      <c r="S39" s="232"/>
      <c r="T39" s="232"/>
      <c r="U39" s="232"/>
      <c r="V39" s="431"/>
      <c r="W39" s="232"/>
      <c r="X39" s="232"/>
      <c r="Y39" s="232"/>
      <c r="Z39" s="431"/>
      <c r="AA39" s="232"/>
      <c r="AB39" s="232"/>
    </row>
    <row r="40" spans="1:28" ht="15" customHeight="1">
      <c r="A40" s="254">
        <v>2.0791912604615034E-2</v>
      </c>
      <c r="B40" s="255" t="s">
        <v>490</v>
      </c>
      <c r="C40" s="255" t="s">
        <v>295</v>
      </c>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row>
    <row r="41" spans="1:28" ht="15" customHeight="1"/>
    <row r="42" spans="1:28" ht="15" customHeight="1"/>
    <row r="43" spans="1:28" ht="15" customHeight="1"/>
    <row r="44" spans="1:28" ht="15" customHeight="1"/>
    <row r="45" spans="1:28" ht="15" customHeight="1"/>
    <row r="46" spans="1:28" ht="15" customHeight="1">
      <c r="B46" s="14"/>
    </row>
    <row r="47" spans="1:28" ht="15" customHeight="1"/>
    <row r="48" spans="1:2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1554A"/>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18" width="10.83203125" style="16"/>
    <col min="19" max="19" width="10.83203125" style="16" customWidth="1"/>
    <col min="20" max="21" width="10.83203125" style="16"/>
    <col min="22" max="22" width="10.83203125" style="16" hidden="1" customWidth="1"/>
    <col min="23" max="25" width="10.83203125" style="16"/>
    <col min="26" max="26" width="10.83203125" style="16" hidden="1" customWidth="1"/>
    <col min="27" max="29" width="10.83203125" style="16"/>
    <col min="30" max="30" width="0" style="16" hidden="1" customWidth="1"/>
    <col min="31" max="31" width="11.6640625" style="16" hidden="1" customWidth="1"/>
    <col min="32" max="32" width="12.6640625" style="16" hidden="1" customWidth="1"/>
    <col min="33" max="16384" width="10.83203125" style="16"/>
  </cols>
  <sheetData>
    <row r="1" spans="1:32" ht="30">
      <c r="A1" s="341" t="s">
        <v>502</v>
      </c>
      <c r="B1" s="342"/>
      <c r="C1" s="489"/>
      <c r="D1" s="489"/>
      <c r="E1" s="343"/>
      <c r="F1" s="342"/>
      <c r="G1" s="342"/>
      <c r="H1" s="342"/>
      <c r="I1" s="342"/>
      <c r="J1" s="404"/>
      <c r="K1" s="342"/>
      <c r="L1" s="342"/>
      <c r="M1" s="342"/>
      <c r="N1" s="404"/>
      <c r="O1" s="342"/>
      <c r="P1" s="342"/>
      <c r="Q1" s="489"/>
      <c r="R1" s="489"/>
      <c r="S1" s="342"/>
      <c r="T1" s="342"/>
      <c r="U1" s="342"/>
      <c r="V1" s="404"/>
      <c r="W1" s="342"/>
      <c r="X1" s="342"/>
      <c r="Y1" s="342"/>
      <c r="Z1" s="404"/>
      <c r="AA1" s="342"/>
      <c r="AB1" s="342"/>
    </row>
    <row r="2" spans="1:32" ht="30">
      <c r="A2" s="341"/>
      <c r="B2" s="342"/>
      <c r="C2" s="342"/>
      <c r="D2" s="342"/>
      <c r="E2" s="343"/>
      <c r="F2" s="342"/>
      <c r="G2" s="342"/>
      <c r="H2" s="342"/>
      <c r="I2" s="342"/>
      <c r="J2" s="404"/>
      <c r="K2" s="342"/>
      <c r="L2" s="342"/>
      <c r="M2" s="342"/>
      <c r="N2" s="404"/>
      <c r="O2" s="342"/>
      <c r="P2" s="342"/>
      <c r="Q2" s="342"/>
      <c r="R2" s="342"/>
      <c r="S2" s="342"/>
      <c r="T2" s="342"/>
      <c r="U2" s="342"/>
      <c r="V2" s="404"/>
      <c r="W2" s="342"/>
      <c r="X2" s="342"/>
      <c r="Y2" s="342"/>
      <c r="Z2" s="404"/>
      <c r="AA2" s="342"/>
      <c r="AB2" s="342"/>
    </row>
    <row r="3" spans="1:32" ht="30">
      <c r="A3" s="341"/>
      <c r="B3" s="342"/>
      <c r="C3" s="342"/>
      <c r="D3" s="342"/>
      <c r="E3" s="343"/>
      <c r="F3" s="342"/>
      <c r="G3" s="342"/>
      <c r="H3" s="342"/>
      <c r="I3" s="342"/>
      <c r="J3" s="404"/>
      <c r="K3" s="342"/>
      <c r="L3" s="342"/>
      <c r="M3" s="342"/>
      <c r="N3" s="404"/>
      <c r="O3" s="342"/>
      <c r="P3" s="342"/>
      <c r="Q3" s="342"/>
      <c r="R3" s="342"/>
      <c r="S3" s="342"/>
      <c r="T3" s="342"/>
      <c r="U3" s="342"/>
      <c r="V3" s="404"/>
      <c r="W3" s="342"/>
      <c r="X3" s="342"/>
      <c r="Y3" s="342"/>
      <c r="Z3" s="404"/>
      <c r="AA3" s="342"/>
      <c r="AB3" s="342"/>
    </row>
    <row r="4" spans="1:32" ht="30">
      <c r="A4" s="341"/>
      <c r="B4" s="342"/>
      <c r="C4" s="342"/>
      <c r="D4" s="342"/>
      <c r="E4" s="343"/>
      <c r="F4" s="342"/>
      <c r="G4" s="342"/>
      <c r="H4" s="342"/>
      <c r="I4" s="342"/>
      <c r="J4" s="404"/>
      <c r="K4" s="342"/>
      <c r="L4" s="342"/>
      <c r="M4" s="342"/>
      <c r="N4" s="404"/>
      <c r="O4" s="342"/>
      <c r="P4" s="342"/>
      <c r="Q4" s="342"/>
      <c r="R4" s="342"/>
      <c r="S4" s="342"/>
      <c r="T4" s="342"/>
      <c r="U4" s="342"/>
      <c r="V4" s="404"/>
      <c r="W4" s="342"/>
      <c r="X4" s="342"/>
      <c r="Y4" s="342"/>
      <c r="Z4" s="404"/>
      <c r="AA4" s="342"/>
      <c r="AB4" s="342"/>
    </row>
    <row r="5" spans="1:32" ht="30">
      <c r="A5" s="341"/>
      <c r="B5" s="342"/>
      <c r="C5" s="342"/>
      <c r="D5" s="342"/>
      <c r="E5" s="343"/>
      <c r="F5" s="342"/>
      <c r="G5" s="342"/>
      <c r="H5" s="342"/>
      <c r="I5" s="342"/>
      <c r="J5" s="404"/>
      <c r="K5" s="342"/>
      <c r="L5" s="342"/>
      <c r="M5" s="342"/>
      <c r="N5" s="404"/>
      <c r="O5" s="342"/>
      <c r="P5" s="342"/>
      <c r="Q5" s="342"/>
      <c r="R5" s="342"/>
      <c r="S5" s="342"/>
      <c r="T5" s="342"/>
      <c r="U5" s="342"/>
      <c r="V5" s="404"/>
      <c r="W5" s="342"/>
      <c r="X5" s="342"/>
      <c r="Y5" s="342"/>
      <c r="Z5" s="404"/>
      <c r="AA5" s="342"/>
      <c r="AB5" s="342"/>
    </row>
    <row r="6" spans="1:32" ht="30">
      <c r="A6" s="341"/>
      <c r="B6" s="342"/>
      <c r="C6" s="342"/>
      <c r="D6" s="342"/>
      <c r="E6" s="343"/>
      <c r="F6" s="342"/>
      <c r="G6" s="342"/>
      <c r="H6" s="342"/>
      <c r="I6" s="342"/>
      <c r="J6" s="404"/>
      <c r="K6" s="342"/>
      <c r="L6" s="342"/>
      <c r="M6" s="342"/>
      <c r="N6" s="404"/>
      <c r="O6" s="342"/>
      <c r="P6" s="342"/>
      <c r="Q6" s="342"/>
      <c r="R6" s="342"/>
      <c r="S6" s="342"/>
      <c r="T6" s="342"/>
      <c r="U6" s="342"/>
      <c r="V6" s="404"/>
      <c r="W6" s="342"/>
      <c r="X6" s="342"/>
      <c r="Y6" s="342"/>
      <c r="Z6" s="404"/>
      <c r="AA6" s="342"/>
      <c r="AB6" s="342"/>
    </row>
    <row r="7" spans="1:32" ht="30">
      <c r="A7" s="341"/>
      <c r="B7" s="342"/>
      <c r="C7" s="342"/>
      <c r="D7" s="342"/>
      <c r="E7" s="343"/>
      <c r="F7" s="342"/>
      <c r="G7" s="342"/>
      <c r="H7" s="342"/>
      <c r="I7" s="342"/>
      <c r="J7" s="404"/>
      <c r="K7" s="342"/>
      <c r="L7" s="342"/>
      <c r="M7" s="342"/>
      <c r="N7" s="404"/>
      <c r="O7" s="342"/>
      <c r="P7" s="342"/>
      <c r="Q7" s="342"/>
      <c r="R7" s="342"/>
      <c r="S7" s="342"/>
      <c r="T7" s="342"/>
      <c r="U7" s="342"/>
      <c r="V7" s="404"/>
      <c r="W7" s="342"/>
      <c r="X7" s="342"/>
      <c r="Y7" s="342"/>
      <c r="Z7" s="404"/>
      <c r="AA7" s="342"/>
      <c r="AB7" s="342"/>
    </row>
    <row r="8" spans="1:32" ht="30">
      <c r="A8" s="341"/>
      <c r="B8" s="342"/>
      <c r="C8" s="342"/>
      <c r="D8" s="342"/>
      <c r="E8" s="343"/>
      <c r="F8" s="342"/>
      <c r="G8" s="342"/>
      <c r="H8" s="342"/>
      <c r="I8" s="342"/>
      <c r="J8" s="404"/>
      <c r="K8" s="342"/>
      <c r="L8" s="342"/>
      <c r="M8" s="342"/>
      <c r="N8" s="404"/>
      <c r="O8" s="342"/>
      <c r="P8" s="342"/>
      <c r="Q8" s="342"/>
      <c r="R8" s="342"/>
      <c r="S8" s="342"/>
      <c r="T8" s="342"/>
      <c r="U8" s="342"/>
      <c r="V8" s="404"/>
      <c r="W8" s="342"/>
      <c r="X8" s="342"/>
      <c r="Y8" s="342"/>
      <c r="Z8" s="404"/>
      <c r="AA8" s="342"/>
      <c r="AB8" s="342"/>
    </row>
    <row r="9" spans="1:32" ht="31" thickBot="1">
      <c r="A9" s="341"/>
      <c r="B9" s="342"/>
      <c r="C9" s="342"/>
      <c r="D9" s="342"/>
      <c r="E9" s="343"/>
      <c r="F9" s="342"/>
      <c r="G9" s="342"/>
      <c r="H9" s="342"/>
      <c r="I9" s="342"/>
      <c r="J9" s="404"/>
      <c r="K9" s="342"/>
      <c r="L9" s="342"/>
      <c r="M9" s="342"/>
      <c r="N9" s="404"/>
      <c r="O9" s="342"/>
      <c r="P9" s="342"/>
      <c r="Q9" s="342"/>
      <c r="R9" s="342"/>
      <c r="S9" s="342"/>
      <c r="T9" s="342"/>
      <c r="U9" s="342"/>
      <c r="V9" s="404"/>
      <c r="W9" s="342"/>
      <c r="X9" s="342"/>
      <c r="Y9" s="342"/>
      <c r="Z9" s="404"/>
      <c r="AA9" s="342"/>
      <c r="AB9" s="342"/>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112838651.40792342</v>
      </c>
      <c r="AF11" s="18">
        <f>X13*O13</f>
        <v>6439894528.1296577</v>
      </c>
    </row>
    <row r="12" spans="1:32" ht="15" customHeight="1" thickBot="1">
      <c r="A12" s="268"/>
      <c r="B12" s="268" t="s">
        <v>48</v>
      </c>
      <c r="C12" s="269">
        <f>SUM(C15:C28)</f>
        <v>136175504.14015585</v>
      </c>
      <c r="D12" s="269"/>
      <c r="E12" s="269">
        <f>SUM(E15:E28)</f>
        <v>0.46311770277049041</v>
      </c>
      <c r="F12" s="270"/>
      <c r="G12" s="270"/>
      <c r="H12" s="270"/>
      <c r="I12" s="270"/>
      <c r="J12" s="270"/>
      <c r="K12" s="501"/>
      <c r="L12" s="270"/>
      <c r="M12" s="270"/>
      <c r="N12" s="270"/>
      <c r="O12" s="276">
        <f>SUM(O15:O28)</f>
        <v>6464662644.5397196</v>
      </c>
      <c r="P12" s="268"/>
      <c r="Q12" s="269">
        <f>SUM(Q15:Q28)</f>
        <v>21.985596690312434</v>
      </c>
      <c r="R12" s="270"/>
      <c r="S12" s="270"/>
      <c r="T12" s="270"/>
      <c r="U12" s="270"/>
      <c r="V12" s="270"/>
      <c r="W12" s="501"/>
      <c r="X12" s="270"/>
      <c r="Y12" s="270"/>
      <c r="Z12" s="270"/>
      <c r="AA12" s="235"/>
      <c r="AB12" s="236"/>
      <c r="AD12" s="16" t="s">
        <v>887</v>
      </c>
      <c r="AE12" s="18">
        <f>K13*C13</f>
        <v>46245868.637297191</v>
      </c>
      <c r="AF12" s="18">
        <f>W13*O13</f>
        <v>47670967.910799921</v>
      </c>
    </row>
    <row r="13" spans="1:32" ht="15" customHeight="1" thickTop="1" thickBot="1">
      <c r="A13" s="271"/>
      <c r="B13" s="271" t="s">
        <v>870</v>
      </c>
      <c r="C13" s="272">
        <f>SUM(C15:C24)</f>
        <v>159142193.1424484</v>
      </c>
      <c r="D13" s="272"/>
      <c r="E13" s="272">
        <f>SUM(E15:E24)</f>
        <v>0.54122485073477355</v>
      </c>
      <c r="F13" s="282">
        <f>SUMPRODUCT(F15:F24,$C$15:$C$24)/SUM($C$15:$C$24)</f>
        <v>0.97147101407676739</v>
      </c>
      <c r="G13" s="282">
        <f>SUMPRODUCT(G15:G24,$C$15:$C$24)/SUM($C$15:$C$24)</f>
        <v>0</v>
      </c>
      <c r="H13" s="282">
        <f>SUMPRODUCT(H15:H24,$C$15:$C$24)/SUM($C$15:$C$24)</f>
        <v>2.8528985923232643E-2</v>
      </c>
      <c r="I13" s="282">
        <f>SUMPRODUCT(I15:I24,$C$15:$C$24)/SUM($C$15:$C$24)</f>
        <v>0</v>
      </c>
      <c r="J13" s="430">
        <f>SUM(F13:I13)</f>
        <v>1</v>
      </c>
      <c r="K13" s="390">
        <f>SUMPRODUCT(K15:K24,$C$15:$C$24)/SUM($C$15:$C$24)</f>
        <v>0.29059464196212537</v>
      </c>
      <c r="L13" s="391">
        <f>SUMPRODUCT(L15:L24,$C$15:$C$24)/SUM($C$15:$C$24)</f>
        <v>0.70904295824879948</v>
      </c>
      <c r="M13" s="391">
        <f>SUMPRODUCT(M15:M24,$C$15:$C$24)/SUM($C$15:$C$24)</f>
        <v>3.6239978907522396E-4</v>
      </c>
      <c r="N13" s="430">
        <f>SUM(K13:M13)</f>
        <v>1</v>
      </c>
      <c r="O13" s="277">
        <f>SUM(O15:O25)</f>
        <v>6487629333.5420122</v>
      </c>
      <c r="P13" s="271"/>
      <c r="Q13" s="272">
        <f>SUM(Q15:Q24)</f>
        <v>22.063703838276716</v>
      </c>
      <c r="R13" s="282">
        <f>SUMPRODUCT(R15:R24,$O$15:$O$24)/SUM($O$15:$O$24)</f>
        <v>0.99922572983361269</v>
      </c>
      <c r="S13" s="282">
        <f>SUMPRODUCT(S15:S24,$O$15:$O$24)/SUM($O$15:$O$24)</f>
        <v>0</v>
      </c>
      <c r="T13" s="282">
        <f>SUMPRODUCT(T15:T24,$O$15:$O$24)/SUM($O$15:$O$24)</f>
        <v>7.7427016638731405E-4</v>
      </c>
      <c r="U13" s="282">
        <f>SUMPRODUCT(U15:U24,$O$15:$O$24)/SUM($O$15:$O$24)</f>
        <v>0</v>
      </c>
      <c r="V13" s="430">
        <f>SUM(R13:U13)</f>
        <v>1</v>
      </c>
      <c r="W13" s="390">
        <f>SUMPRODUCT(W15:W24,$O$15:$O$24)/SUM($O$15:$O$24)</f>
        <v>7.3479795869862505E-3</v>
      </c>
      <c r="X13" s="391">
        <f>SUMPRODUCT(X15:X24,$O$15:$O$24)/SUM($O$15:$O$24)</f>
        <v>0.99264218053186881</v>
      </c>
      <c r="Y13" s="391">
        <f>SUMPRODUCT(Y15:Y24,$O$15:$O$24)/SUM($O$15:$O$24)</f>
        <v>9.8398811448994666E-6</v>
      </c>
      <c r="Z13" s="430">
        <f>SUM(W13:Y13)</f>
        <v>1</v>
      </c>
      <c r="AA13" s="702"/>
      <c r="AB13" s="703"/>
      <c r="AD13" s="16" t="s">
        <v>888</v>
      </c>
      <c r="AE13" s="18">
        <f>M13*C13</f>
        <v>57673.097227791848</v>
      </c>
      <c r="AF13" s="18">
        <f>Y13*O13</f>
        <v>63837.501554216738</v>
      </c>
    </row>
    <row r="14" spans="1:32" ht="15" customHeight="1" thickTop="1" thickBot="1">
      <c r="A14" s="224" t="s">
        <v>591</v>
      </c>
      <c r="B14" s="232"/>
      <c r="C14" s="232"/>
      <c r="D14" s="232"/>
      <c r="E14" s="232"/>
      <c r="F14" s="232"/>
      <c r="G14" s="232"/>
      <c r="H14" s="232"/>
      <c r="I14" s="232"/>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23"/>
      <c r="B15" s="232" t="s">
        <v>503</v>
      </c>
      <c r="C15" s="243">
        <f>D15*AA15</f>
        <v>32761544.206854895</v>
      </c>
      <c r="D15" s="243">
        <f>$A$32</f>
        <v>5.7767906920903826E-2</v>
      </c>
      <c r="E15" s="243">
        <f>C15/AB15</f>
        <v>0.11141835815549153</v>
      </c>
      <c r="F15" s="240">
        <v>1</v>
      </c>
      <c r="G15" s="240"/>
      <c r="H15" s="240"/>
      <c r="I15" s="240"/>
      <c r="J15" s="430">
        <f>SUM(F15:I15)</f>
        <v>1</v>
      </c>
      <c r="K15" s="299">
        <v>1</v>
      </c>
      <c r="L15" s="300"/>
      <c r="M15" s="240"/>
      <c r="N15" s="430">
        <f>SUM(K15:M15)</f>
        <v>1</v>
      </c>
      <c r="O15" s="677">
        <f>C15</f>
        <v>32761544.206854895</v>
      </c>
      <c r="P15" s="243">
        <f>D15</f>
        <v>5.7767906920903826E-2</v>
      </c>
      <c r="Q15" s="243">
        <f>O15/AB15</f>
        <v>0.11141835815549153</v>
      </c>
      <c r="R15" s="240">
        <v>1</v>
      </c>
      <c r="S15" s="240"/>
      <c r="T15" s="240"/>
      <c r="U15" s="240"/>
      <c r="V15" s="430">
        <f>SUM(R15:U15)</f>
        <v>1</v>
      </c>
      <c r="W15" s="299">
        <v>1</v>
      </c>
      <c r="X15" s="300"/>
      <c r="Y15" s="240"/>
      <c r="Z15" s="430">
        <f>SUM(W15:Y15)</f>
        <v>1</v>
      </c>
      <c r="AA15" s="706">
        <v>567123615.05000007</v>
      </c>
      <c r="AB15" s="707">
        <f>'Energy data by fuel cycle'!$G$11</f>
        <v>294040809.33533448</v>
      </c>
      <c r="AD15" s="16" t="s">
        <v>267</v>
      </c>
      <c r="AE15" s="18">
        <f>F13*C13</f>
        <v>154602027.75449511</v>
      </c>
      <c r="AF15" s="18">
        <f>R13*O13</f>
        <v>6482606155.6984711</v>
      </c>
    </row>
    <row r="16" spans="1:32" ht="15" customHeight="1" thickTop="1" thickBot="1">
      <c r="A16" s="223"/>
      <c r="B16" s="232" t="s">
        <v>877</v>
      </c>
      <c r="C16" s="243">
        <f>D16*AA16</f>
        <v>459927.84994132287</v>
      </c>
      <c r="D16" s="243">
        <f>$A$31</f>
        <v>1.11482563387975E-3</v>
      </c>
      <c r="E16" s="243">
        <f>C16/AB16</f>
        <v>1.564163324747229E-3</v>
      </c>
      <c r="F16" s="240">
        <v>1</v>
      </c>
      <c r="G16" s="240"/>
      <c r="H16" s="240"/>
      <c r="I16" s="240"/>
      <c r="J16" s="430">
        <f>SUM(F16:I16)</f>
        <v>1</v>
      </c>
      <c r="K16" s="299">
        <v>1</v>
      </c>
      <c r="L16" s="300"/>
      <c r="M16" s="240"/>
      <c r="N16" s="430">
        <f>SUM(K16:M16)</f>
        <v>1</v>
      </c>
      <c r="O16" s="677">
        <f>P16*AA16</f>
        <v>457937.0063982</v>
      </c>
      <c r="P16" s="243">
        <v>1.1100000000000001E-3</v>
      </c>
      <c r="Q16" s="243">
        <f>O16/AB16</f>
        <v>1.5573926878835126E-3</v>
      </c>
      <c r="R16" s="240">
        <v>1</v>
      </c>
      <c r="S16" s="240"/>
      <c r="T16" s="240"/>
      <c r="U16" s="240"/>
      <c r="V16" s="430">
        <f>SUM(R16:U16)</f>
        <v>1</v>
      </c>
      <c r="W16" s="299">
        <v>1</v>
      </c>
      <c r="X16" s="300"/>
      <c r="Y16" s="240"/>
      <c r="Z16" s="430">
        <f>SUM(W16:Y16)</f>
        <v>1</v>
      </c>
      <c r="AA16" s="706">
        <v>412555861.61999995</v>
      </c>
      <c r="AB16" s="707">
        <f>'Energy data by fuel cycle'!$G$11</f>
        <v>294040809.33533448</v>
      </c>
      <c r="AD16" s="16" t="s">
        <v>654</v>
      </c>
      <c r="AE16" s="18">
        <f>G13*C13</f>
        <v>0</v>
      </c>
      <c r="AF16" s="18">
        <f>S13*O13</f>
        <v>0</v>
      </c>
    </row>
    <row r="17" spans="1:32" ht="15" customHeight="1" thickTop="1">
      <c r="A17" s="232"/>
      <c r="B17" s="232" t="s">
        <v>485</v>
      </c>
      <c r="C17" s="243" t="s">
        <v>412</v>
      </c>
      <c r="D17" s="284"/>
      <c r="E17" s="284"/>
      <c r="F17" s="240"/>
      <c r="G17" s="240"/>
      <c r="H17" s="240"/>
      <c r="I17" s="240"/>
      <c r="J17" s="431"/>
      <c r="K17" s="301"/>
      <c r="L17" s="244"/>
      <c r="M17" s="232"/>
      <c r="N17" s="431"/>
      <c r="O17" s="680"/>
      <c r="P17" s="284"/>
      <c r="Q17" s="284"/>
      <c r="R17" s="232"/>
      <c r="S17" s="232"/>
      <c r="T17" s="232"/>
      <c r="U17" s="232"/>
      <c r="V17" s="431"/>
      <c r="W17" s="301"/>
      <c r="X17" s="244"/>
      <c r="Y17" s="232"/>
      <c r="Z17" s="431"/>
      <c r="AA17" s="706"/>
      <c r="AB17" s="707"/>
      <c r="AD17" s="16" t="s">
        <v>889</v>
      </c>
      <c r="AE17" s="18">
        <f>H13*C13</f>
        <v>4540165.3879532805</v>
      </c>
      <c r="AF17" s="18">
        <f>T13*O13</f>
        <v>5023177.8435407933</v>
      </c>
    </row>
    <row r="18" spans="1:32" ht="15" customHeight="1">
      <c r="A18" s="232"/>
      <c r="B18" s="232" t="s">
        <v>486</v>
      </c>
      <c r="C18" s="283">
        <v>0</v>
      </c>
      <c r="D18" s="284"/>
      <c r="E18" s="284"/>
      <c r="F18" s="240"/>
      <c r="G18" s="240"/>
      <c r="H18" s="240"/>
      <c r="I18" s="240"/>
      <c r="J18" s="431"/>
      <c r="K18" s="301"/>
      <c r="L18" s="244"/>
      <c r="M18" s="232"/>
      <c r="N18" s="431"/>
      <c r="O18" s="687">
        <v>0</v>
      </c>
      <c r="P18" s="284"/>
      <c r="Q18" s="284"/>
      <c r="R18" s="232"/>
      <c r="S18" s="232"/>
      <c r="T18" s="232"/>
      <c r="U18" s="232"/>
      <c r="V18" s="431"/>
      <c r="W18" s="301"/>
      <c r="X18" s="244"/>
      <c r="Y18" s="232"/>
      <c r="Z18" s="431"/>
      <c r="AA18" s="706"/>
      <c r="AB18" s="707"/>
      <c r="AD18" s="16" t="s">
        <v>890</v>
      </c>
      <c r="AE18" s="18">
        <f>I13*C13</f>
        <v>0</v>
      </c>
      <c r="AF18" s="18">
        <f>U13*O13</f>
        <v>0</v>
      </c>
    </row>
    <row r="19" spans="1:32" ht="15" customHeight="1">
      <c r="A19" s="232"/>
      <c r="B19" s="232"/>
      <c r="C19" s="345"/>
      <c r="D19" s="284"/>
      <c r="E19" s="284"/>
      <c r="F19" s="240"/>
      <c r="G19" s="240"/>
      <c r="H19" s="240"/>
      <c r="I19" s="240"/>
      <c r="J19" s="425"/>
      <c r="K19" s="299"/>
      <c r="L19" s="300"/>
      <c r="M19" s="240"/>
      <c r="N19" s="425"/>
      <c r="O19" s="688"/>
      <c r="P19" s="284"/>
      <c r="Q19" s="284"/>
      <c r="R19" s="240"/>
      <c r="S19" s="240"/>
      <c r="T19" s="240"/>
      <c r="U19" s="240"/>
      <c r="V19" s="425"/>
      <c r="W19" s="299"/>
      <c r="X19" s="300"/>
      <c r="Y19" s="240"/>
      <c r="Z19" s="425"/>
      <c r="AA19" s="706"/>
      <c r="AB19" s="707"/>
    </row>
    <row r="20" spans="1:32" ht="15" customHeight="1" thickBot="1">
      <c r="A20" s="222" t="s">
        <v>68</v>
      </c>
      <c r="B20" s="232"/>
      <c r="C20" s="284"/>
      <c r="D20" s="284"/>
      <c r="E20" s="284"/>
      <c r="F20" s="240"/>
      <c r="G20" s="240"/>
      <c r="H20" s="240"/>
      <c r="I20" s="240"/>
      <c r="J20" s="425"/>
      <c r="K20" s="299"/>
      <c r="L20" s="300"/>
      <c r="M20" s="240"/>
      <c r="N20" s="425"/>
      <c r="O20" s="679"/>
      <c r="P20" s="284"/>
      <c r="Q20" s="284"/>
      <c r="R20" s="240"/>
      <c r="S20" s="240"/>
      <c r="T20" s="240"/>
      <c r="U20" s="240"/>
      <c r="V20" s="425"/>
      <c r="W20" s="299"/>
      <c r="X20" s="300"/>
      <c r="Y20" s="240"/>
      <c r="Z20" s="425"/>
      <c r="AA20" s="706"/>
      <c r="AB20" s="707"/>
      <c r="AD20" s="16" t="s">
        <v>614</v>
      </c>
      <c r="AE20" s="419">
        <f>SUM(C15:C18)</f>
        <v>33221472.056796219</v>
      </c>
      <c r="AF20" s="419">
        <f>SUM(O15:O18)</f>
        <v>33219481.213253096</v>
      </c>
    </row>
    <row r="21" spans="1:32" ht="15" customHeight="1" thickTop="1" thickBot="1">
      <c r="A21" s="232"/>
      <c r="B21" s="232" t="s">
        <v>487</v>
      </c>
      <c r="C21" s="243">
        <f>SUM('Sankey conversion input'!$E$63:$E$74)-C24</f>
        <v>121740716.01708618</v>
      </c>
      <c r="D21" s="243">
        <f>C21/AA21</f>
        <v>0.16962405474110304</v>
      </c>
      <c r="E21" s="243">
        <f>C21/AB21</f>
        <v>0.41402659818640608</v>
      </c>
      <c r="F21" s="240">
        <f>('Absolute Volume'!K123+'Absolute Volume'!K119+'Absolute Volume'!K127)/C21</f>
        <v>0.9627062700426694</v>
      </c>
      <c r="G21" s="281">
        <f>('Absolute Volume'!K124+'Absolute Volume'!K120+'Absolute Volume'!K128)/C21</f>
        <v>0</v>
      </c>
      <c r="H21" s="240">
        <f>('Absolute Volume'!K125+'Absolute Volume'!K121+'Absolute Volume'!K129)/C21</f>
        <v>3.7293729957330574E-2</v>
      </c>
      <c r="I21" s="281"/>
      <c r="J21" s="430">
        <f t="shared" ref="J21:J24" si="0">SUM(F21:I21)</f>
        <v>1</v>
      </c>
      <c r="K21" s="299">
        <f>SUM('Absolute Volume'!K119:K122)/C21</f>
        <v>0.10690784426223536</v>
      </c>
      <c r="L21" s="499">
        <f>SUM('Absolute Volume'!K123:K126)/C21</f>
        <v>0.89261875820348902</v>
      </c>
      <c r="M21" s="346">
        <f>SUM('Absolute Volume'!K127:K130)/C21</f>
        <v>4.7339753427574931E-4</v>
      </c>
      <c r="N21" s="430">
        <f>SUM(K21:M21)</f>
        <v>1</v>
      </c>
      <c r="O21" s="677">
        <f>SUM('Sankey conversion input'!$D$63:$D$74)-O24</f>
        <v>6450229847.2601929</v>
      </c>
      <c r="P21" s="243">
        <f>O21/AA21</f>
        <v>8.9872491020243537</v>
      </c>
      <c r="Q21" s="243">
        <f>O21/AB21</f>
        <v>21.936512356365213</v>
      </c>
      <c r="R21" s="247">
        <f>('Absolute Volume'!L123+'Absolute Volume'!L119+'Absolute Volume'!L127)/O21</f>
        <v>0.99922124048871297</v>
      </c>
      <c r="S21" s="281"/>
      <c r="T21" s="247">
        <f>('Absolute Volume'!L125+'Absolute Volume'!L121+'Absolute Volume'!L129)/O21</f>
        <v>7.7875951128694178E-4</v>
      </c>
      <c r="U21" s="325"/>
      <c r="V21" s="430">
        <f t="shared" ref="V21:V24" si="1">SUM(R21:U21)</f>
        <v>0.99999999999999989</v>
      </c>
      <c r="W21" s="299">
        <f>SUM('Sankey conversion input'!$D$67:$D$70)/SUM($O$21,$O$25,$O$24)</f>
        <v>2.2390097666842015E-3</v>
      </c>
      <c r="X21" s="300">
        <f>SUM('Sankey conversion input'!$D$63:$D$66)/SUM($O$21,$O$25,$O$24)</f>
        <v>0.99775109970838549</v>
      </c>
      <c r="Y21" s="332">
        <f>SUM('Sankey conversion input'!$D$71:$D$74)/SUM($O$21,$O$25,$O$24)</f>
        <v>9.8905249302047491E-6</v>
      </c>
      <c r="Z21" s="430">
        <f>SUM(W21:Y21)</f>
        <v>0.99999999999999989</v>
      </c>
      <c r="AA21" s="706">
        <f>'Energy data by fuel cycle'!$E$11</f>
        <v>717709031.32164168</v>
      </c>
      <c r="AB21" s="707">
        <f>'Energy data by fuel cycle'!$G$11</f>
        <v>294040809.33533448</v>
      </c>
      <c r="AD21" s="16" t="s">
        <v>82</v>
      </c>
    </row>
    <row r="22" spans="1:32" ht="15" customHeight="1" thickTop="1">
      <c r="B22" s="232"/>
      <c r="C22" s="232"/>
      <c r="D22" s="284"/>
      <c r="E22" s="284"/>
      <c r="F22" s="240"/>
      <c r="G22" s="240"/>
      <c r="H22" s="240"/>
      <c r="I22" s="240"/>
      <c r="J22" s="425"/>
      <c r="K22" s="299"/>
      <c r="L22" s="300"/>
      <c r="M22" s="240"/>
      <c r="N22" s="425"/>
      <c r="O22" s="680"/>
      <c r="P22" s="284"/>
      <c r="Q22" s="284"/>
      <c r="R22" s="240"/>
      <c r="S22" s="240"/>
      <c r="T22" s="240"/>
      <c r="U22" s="240"/>
      <c r="V22" s="425"/>
      <c r="W22" s="299"/>
      <c r="X22" s="300"/>
      <c r="Y22" s="332"/>
      <c r="Z22" s="425"/>
      <c r="AA22" s="706"/>
      <c r="AB22" s="707"/>
      <c r="AD22" s="16" t="s">
        <v>891</v>
      </c>
    </row>
    <row r="23" spans="1:32" ht="15" customHeight="1" thickBot="1">
      <c r="A23" s="218" t="s">
        <v>69</v>
      </c>
      <c r="C23" s="232"/>
      <c r="D23" s="232"/>
      <c r="E23" s="232"/>
      <c r="F23" s="232"/>
      <c r="G23" s="232"/>
      <c r="H23" s="232"/>
      <c r="I23" s="232"/>
      <c r="J23" s="431"/>
      <c r="K23" s="301"/>
      <c r="L23" s="244"/>
      <c r="M23" s="232"/>
      <c r="N23" s="431"/>
      <c r="O23" s="680"/>
      <c r="P23" s="232"/>
      <c r="Q23" s="232"/>
      <c r="R23" s="232"/>
      <c r="S23" s="232"/>
      <c r="T23" s="232"/>
      <c r="U23" s="232"/>
      <c r="V23" s="431"/>
      <c r="W23" s="301"/>
      <c r="X23" s="244"/>
      <c r="Y23" s="232"/>
      <c r="Z23" s="431"/>
      <c r="AA23" s="301"/>
      <c r="AB23" s="708"/>
      <c r="AD23" s="16" t="s">
        <v>892</v>
      </c>
      <c r="AE23" s="419">
        <f>C21</f>
        <v>121740716.01708618</v>
      </c>
      <c r="AF23" s="419">
        <f>O21</f>
        <v>6450229847.2601929</v>
      </c>
    </row>
    <row r="24" spans="1:32" ht="15" customHeight="1" thickTop="1" thickBot="1">
      <c r="A24" s="232"/>
      <c r="B24" s="232" t="s">
        <v>489</v>
      </c>
      <c r="C24" s="383">
        <f>'Intermediate coal entries'!D11</f>
        <v>4180005.0685660052</v>
      </c>
      <c r="D24" s="384">
        <f>C24/AA24</f>
        <v>8.5526275532956095E-2</v>
      </c>
      <c r="E24" s="385">
        <f>C24/AB24</f>
        <v>1.4215731068128644E-2</v>
      </c>
      <c r="F24" s="240">
        <v>1</v>
      </c>
      <c r="G24" s="240"/>
      <c r="H24" s="240"/>
      <c r="I24" s="240"/>
      <c r="J24" s="430">
        <f t="shared" si="0"/>
        <v>1</v>
      </c>
      <c r="K24" s="507">
        <f>W21</f>
        <v>2.2390097666842015E-3</v>
      </c>
      <c r="L24" s="347">
        <f>X21</f>
        <v>0.99775109970838549</v>
      </c>
      <c r="M24" s="351">
        <f t="shared" ref="M24" si="2">Y21</f>
        <v>9.8905249302047491E-6</v>
      </c>
      <c r="N24" s="430">
        <f>SUM(K24:M24)</f>
        <v>0.99999999999999989</v>
      </c>
      <c r="O24" s="677">
        <f>C24</f>
        <v>4180005.0685660052</v>
      </c>
      <c r="P24" s="243">
        <f>O24/AA24</f>
        <v>8.5526275532956095E-2</v>
      </c>
      <c r="Q24" s="243">
        <f>O24/AB24</f>
        <v>1.4215731068128644E-2</v>
      </c>
      <c r="R24" s="240">
        <v>1</v>
      </c>
      <c r="S24" s="240"/>
      <c r="T24" s="240"/>
      <c r="U24" s="240"/>
      <c r="V24" s="430">
        <f t="shared" si="1"/>
        <v>1</v>
      </c>
      <c r="W24" s="507">
        <f>W21</f>
        <v>2.2390097666842015E-3</v>
      </c>
      <c r="X24" s="347">
        <f>X21</f>
        <v>0.99775109970838549</v>
      </c>
      <c r="Y24" s="351">
        <f>Y21</f>
        <v>9.8905249302047491E-6</v>
      </c>
      <c r="Z24" s="430">
        <f>SUM(W24:Y24)</f>
        <v>0.99999999999999989</v>
      </c>
      <c r="AA24" s="706">
        <v>48873928.421626538</v>
      </c>
      <c r="AB24" s="707">
        <f>'Energy data by fuel cycle'!$G$11</f>
        <v>294040809.33533448</v>
      </c>
      <c r="AD24" s="16" t="s">
        <v>893</v>
      </c>
      <c r="AE24" s="18">
        <f>SUM(C24,C25)</f>
        <v>4180005.0685660052</v>
      </c>
      <c r="AF24" s="18">
        <f>SUM(O24)</f>
        <v>4180005.0685660052</v>
      </c>
    </row>
    <row r="25" spans="1:32" ht="15" customHeight="1" thickTop="1">
      <c r="A25" s="232"/>
      <c r="B25" s="232" t="s">
        <v>488</v>
      </c>
      <c r="C25" s="382" t="s">
        <v>894</v>
      </c>
      <c r="D25" s="378"/>
      <c r="E25" s="378"/>
      <c r="F25" s="379"/>
      <c r="G25" s="379"/>
      <c r="H25" s="379"/>
      <c r="I25" s="380"/>
      <c r="J25" s="434"/>
      <c r="K25" s="508"/>
      <c r="L25" s="379"/>
      <c r="M25" s="381"/>
      <c r="N25" s="434"/>
      <c r="O25" s="689" t="s">
        <v>894</v>
      </c>
      <c r="P25" s="378"/>
      <c r="Q25" s="378"/>
      <c r="R25" s="379"/>
      <c r="S25" s="380"/>
      <c r="T25" s="421"/>
      <c r="U25" s="423"/>
      <c r="V25" s="434"/>
      <c r="W25" s="512"/>
      <c r="X25" s="379"/>
      <c r="Y25" s="422"/>
      <c r="Z25" s="434"/>
      <c r="AA25" s="706">
        <v>830479954.90420985</v>
      </c>
      <c r="AB25" s="707">
        <f>'Energy data by fuel cycle'!$G$11</f>
        <v>294040809.33533448</v>
      </c>
    </row>
    <row r="26" spans="1:32" ht="15" customHeight="1">
      <c r="A26" s="232"/>
      <c r="B26" s="232"/>
      <c r="C26" s="232"/>
      <c r="D26" s="232"/>
      <c r="E26" s="232"/>
      <c r="F26" s="232"/>
      <c r="G26" s="232"/>
      <c r="H26" s="232"/>
      <c r="I26" s="232"/>
      <c r="J26" s="431"/>
      <c r="K26" s="301"/>
      <c r="L26" s="244"/>
      <c r="M26" s="232"/>
      <c r="N26" s="431"/>
      <c r="O26" s="680"/>
      <c r="P26" s="232"/>
      <c r="Q26" s="232"/>
      <c r="R26" s="232"/>
      <c r="S26" s="232"/>
      <c r="T26" s="232"/>
      <c r="U26" s="232"/>
      <c r="V26" s="431"/>
      <c r="W26" s="301"/>
      <c r="X26" s="244"/>
      <c r="Y26" s="232"/>
      <c r="Z26" s="431"/>
      <c r="AA26" s="301"/>
      <c r="AB26" s="708"/>
    </row>
    <row r="27" spans="1:32" ht="15" customHeight="1" thickBot="1">
      <c r="A27" s="257" t="s">
        <v>413</v>
      </c>
      <c r="B27" s="232"/>
      <c r="C27" s="232"/>
      <c r="D27" s="232"/>
      <c r="E27" s="232"/>
      <c r="F27" s="232"/>
      <c r="G27" s="232"/>
      <c r="H27" s="232"/>
      <c r="I27" s="232"/>
      <c r="J27" s="431"/>
      <c r="K27" s="301"/>
      <c r="L27" s="244"/>
      <c r="M27" s="232"/>
      <c r="N27" s="431"/>
      <c r="O27" s="680"/>
      <c r="P27" s="232"/>
      <c r="Q27" s="232"/>
      <c r="R27" s="232"/>
      <c r="S27" s="232"/>
      <c r="T27" s="232"/>
      <c r="U27" s="232"/>
      <c r="V27" s="431"/>
      <c r="W27" s="301"/>
      <c r="X27" s="244"/>
      <c r="Y27" s="232"/>
      <c r="Z27" s="431"/>
      <c r="AA27" s="301"/>
      <c r="AB27" s="708"/>
    </row>
    <row r="28" spans="1:32" ht="15" customHeight="1" thickTop="1" thickBot="1">
      <c r="A28" s="232"/>
      <c r="B28" s="232" t="s">
        <v>413</v>
      </c>
      <c r="C28" s="243">
        <f>AA28*D28</f>
        <v>-22966689.002292536</v>
      </c>
      <c r="D28" s="243">
        <v>-3.2000000000000001E-2</v>
      </c>
      <c r="E28" s="243">
        <f>C28/AB28</f>
        <v>-7.8107147964283141E-2</v>
      </c>
      <c r="F28" s="240">
        <v>1</v>
      </c>
      <c r="G28" s="240"/>
      <c r="H28" s="240"/>
      <c r="I28" s="240"/>
      <c r="J28" s="430">
        <f>SUM(F28:I28)</f>
        <v>1</v>
      </c>
      <c r="K28" s="299"/>
      <c r="L28" s="300">
        <v>1</v>
      </c>
      <c r="M28" s="240"/>
      <c r="N28" s="430">
        <f>SUM(K28:M28)</f>
        <v>1</v>
      </c>
      <c r="O28" s="677">
        <f>AA28*P28</f>
        <v>-22966689.002292536</v>
      </c>
      <c r="P28" s="243">
        <f>D28</f>
        <v>-3.2000000000000001E-2</v>
      </c>
      <c r="Q28" s="243">
        <f>O28/AB28</f>
        <v>-7.8107147964283141E-2</v>
      </c>
      <c r="R28" s="240">
        <v>1</v>
      </c>
      <c r="S28" s="240"/>
      <c r="T28" s="240"/>
      <c r="U28" s="240"/>
      <c r="V28" s="430">
        <f>SUM(R28:U28)</f>
        <v>1</v>
      </c>
      <c r="W28" s="299"/>
      <c r="X28" s="300">
        <v>1</v>
      </c>
      <c r="Y28" s="332"/>
      <c r="Z28" s="430">
        <f>SUM(W28:Y28)</f>
        <v>1</v>
      </c>
      <c r="AA28" s="709">
        <f>'Energy data by fuel cycle'!$E$11</f>
        <v>717709031.32164168</v>
      </c>
      <c r="AB28" s="710">
        <f>'Energy data by fuel cycle'!$G$11</f>
        <v>294040809.33533448</v>
      </c>
    </row>
    <row r="29" spans="1:32" ht="15" customHeight="1" thickTop="1">
      <c r="A29" s="232"/>
      <c r="B29" s="232"/>
      <c r="C29" s="232"/>
      <c r="D29" s="232"/>
      <c r="E29" s="232"/>
      <c r="F29" s="232"/>
      <c r="G29" s="232"/>
      <c r="H29" s="232"/>
      <c r="I29" s="232"/>
      <c r="J29" s="431"/>
      <c r="K29" s="244"/>
      <c r="L29" s="244"/>
      <c r="M29" s="232"/>
      <c r="N29" s="431"/>
      <c r="O29" s="232"/>
      <c r="P29" s="232"/>
      <c r="Q29" s="232"/>
      <c r="R29" s="232"/>
      <c r="S29" s="232"/>
      <c r="T29" s="232"/>
      <c r="U29" s="232"/>
      <c r="V29" s="431"/>
      <c r="W29" s="244"/>
      <c r="X29" s="244"/>
      <c r="Y29" s="232"/>
      <c r="Z29" s="431"/>
      <c r="AA29" s="232"/>
      <c r="AB29" s="232"/>
    </row>
    <row r="30" spans="1:32" ht="15" customHeight="1">
      <c r="A30" s="251" t="s">
        <v>414</v>
      </c>
      <c r="B30" s="232"/>
      <c r="C30" s="232"/>
      <c r="D30" s="232"/>
      <c r="E30" s="232"/>
      <c r="F30" s="232"/>
      <c r="G30" s="232"/>
      <c r="H30" s="232"/>
      <c r="I30" s="244"/>
      <c r="J30" s="515"/>
      <c r="K30" s="244"/>
      <c r="L30" s="244"/>
      <c r="M30" s="244"/>
      <c r="N30" s="515"/>
      <c r="O30" s="244"/>
      <c r="P30" s="244"/>
      <c r="Q30" s="244"/>
      <c r="R30" s="244"/>
      <c r="S30" s="244"/>
      <c r="T30" s="244"/>
      <c r="U30" s="244"/>
      <c r="V30" s="515"/>
      <c r="W30" s="244"/>
      <c r="X30" s="244"/>
      <c r="Y30" s="232"/>
      <c r="Z30" s="431"/>
      <c r="AA30" s="232"/>
      <c r="AB30" s="232"/>
    </row>
    <row r="31" spans="1:32" ht="15" customHeight="1">
      <c r="A31" s="344">
        <v>1.11482563387975E-3</v>
      </c>
      <c r="B31" s="255" t="s">
        <v>490</v>
      </c>
      <c r="C31" s="232" t="s">
        <v>504</v>
      </c>
      <c r="D31" s="232"/>
      <c r="E31" s="232"/>
      <c r="F31" s="232"/>
      <c r="G31" s="232"/>
      <c r="H31" s="232"/>
      <c r="I31" s="244"/>
      <c r="J31" s="515"/>
      <c r="K31" s="244"/>
      <c r="L31" s="244"/>
      <c r="M31" s="244"/>
      <c r="N31" s="515"/>
      <c r="O31" s="244"/>
      <c r="P31" s="244"/>
      <c r="Q31" s="244"/>
      <c r="R31" s="244"/>
      <c r="S31" s="244"/>
      <c r="T31" s="244"/>
      <c r="U31" s="244"/>
      <c r="V31" s="515"/>
      <c r="W31" s="244"/>
      <c r="X31" s="244"/>
      <c r="Y31" s="232"/>
      <c r="Z31" s="431"/>
      <c r="AA31" s="232"/>
      <c r="AB31" s="232"/>
    </row>
    <row r="32" spans="1:32" ht="15" customHeight="1">
      <c r="A32" s="344">
        <v>5.7767906920903826E-2</v>
      </c>
      <c r="B32" s="255" t="s">
        <v>490</v>
      </c>
      <c r="C32" s="232" t="s">
        <v>294</v>
      </c>
      <c r="D32" s="232"/>
      <c r="E32" s="232"/>
      <c r="F32" s="232"/>
      <c r="G32" s="232"/>
      <c r="H32" s="232"/>
      <c r="I32" s="244"/>
      <c r="J32" s="515"/>
      <c r="K32" s="244"/>
      <c r="L32" s="244"/>
      <c r="M32" s="244"/>
      <c r="N32" s="515"/>
      <c r="O32" s="244"/>
      <c r="P32" s="244"/>
      <c r="Q32" s="244"/>
      <c r="R32" s="244"/>
      <c r="S32" s="244"/>
      <c r="T32" s="244"/>
      <c r="U32" s="244"/>
      <c r="V32" s="515"/>
      <c r="W32" s="244"/>
      <c r="X32" s="232"/>
      <c r="Y32" s="232"/>
      <c r="Z32" s="431"/>
      <c r="AA32" s="232"/>
      <c r="AB32" s="232"/>
    </row>
    <row r="33" spans="2:26" ht="15" customHeight="1">
      <c r="I33" s="17"/>
      <c r="J33" s="514"/>
      <c r="K33" s="17"/>
      <c r="L33" s="17"/>
      <c r="M33" s="17"/>
      <c r="N33" s="514"/>
      <c r="O33" s="17"/>
      <c r="P33" s="17"/>
      <c r="Q33" s="17"/>
      <c r="R33" s="17"/>
      <c r="S33" s="17"/>
      <c r="T33" s="17"/>
      <c r="U33" s="17"/>
      <c r="V33" s="514"/>
      <c r="W33" s="17"/>
      <c r="Z33" s="433"/>
    </row>
    <row r="34" spans="2:26" ht="15" customHeight="1">
      <c r="J34" s="433"/>
      <c r="N34" s="433"/>
    </row>
    <row r="35" spans="2:26" ht="15" customHeight="1">
      <c r="J35" s="433"/>
      <c r="N35" s="433"/>
      <c r="V35" s="433"/>
      <c r="Z35" s="433"/>
    </row>
    <row r="36" spans="2:26" ht="15" customHeight="1">
      <c r="J36" s="433"/>
      <c r="N36" s="433"/>
      <c r="V36" s="433"/>
      <c r="Z36" s="429"/>
    </row>
    <row r="37" spans="2:26" ht="15" customHeight="1">
      <c r="J37" s="433"/>
      <c r="N37" s="433"/>
      <c r="V37" s="433"/>
      <c r="Z37" s="433"/>
    </row>
    <row r="38" spans="2:26" ht="15" customHeight="1">
      <c r="J38" s="433"/>
      <c r="N38" s="433"/>
      <c r="V38" s="433"/>
      <c r="Z38" s="433"/>
    </row>
    <row r="39" spans="2:26" ht="15" customHeight="1">
      <c r="J39" s="433"/>
      <c r="N39" s="433"/>
      <c r="V39" s="433"/>
      <c r="Z39" s="433"/>
    </row>
    <row r="40" spans="2:26" ht="15" customHeight="1"/>
    <row r="41" spans="2:26" ht="15" customHeight="1"/>
    <row r="42" spans="2:26" ht="15" customHeight="1"/>
    <row r="43" spans="2:26" ht="15" customHeight="1"/>
    <row r="44" spans="2:26" ht="15" customHeight="1"/>
    <row r="45" spans="2:26" ht="15" customHeight="1">
      <c r="B45" s="14"/>
    </row>
    <row r="46" spans="2:26" ht="15" customHeight="1"/>
    <row r="47" spans="2:26" ht="15" customHeight="1"/>
    <row r="48" spans="2: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499984740745262"/>
    <pageSetUpPr fitToPage="1"/>
  </sheetPr>
  <dimension ref="A1:AF65"/>
  <sheetViews>
    <sheetView workbookViewId="0"/>
  </sheetViews>
  <sheetFormatPr baseColWidth="10" defaultRowHeight="13"/>
  <cols>
    <col min="1" max="1" width="15.83203125" style="16" customWidth="1"/>
    <col min="2" max="2" width="30.83203125" style="16" customWidth="1"/>
    <col min="3" max="3" width="10.83203125" style="16" customWidth="1"/>
    <col min="4"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7" width="10.83203125" style="16" customWidth="1"/>
    <col min="28" max="29" width="10.83203125" style="16"/>
    <col min="30" max="30" width="0" style="16" hidden="1" customWidth="1"/>
    <col min="31" max="31" width="11.6640625" style="16" hidden="1" customWidth="1"/>
    <col min="32" max="32" width="13.6640625" style="16" hidden="1" customWidth="1"/>
    <col min="33" max="16384" width="10.83203125" style="16"/>
  </cols>
  <sheetData>
    <row r="1" spans="1:32" ht="30">
      <c r="A1" s="333" t="s">
        <v>874</v>
      </c>
      <c r="B1" s="334"/>
      <c r="C1" s="488"/>
      <c r="D1" s="488"/>
      <c r="E1" s="335"/>
      <c r="F1" s="334"/>
      <c r="G1" s="334"/>
      <c r="H1" s="334"/>
      <c r="I1" s="334"/>
      <c r="J1" s="403"/>
      <c r="K1" s="334"/>
      <c r="L1" s="334"/>
      <c r="M1" s="334"/>
      <c r="N1" s="403"/>
      <c r="O1" s="334"/>
      <c r="P1" s="334"/>
      <c r="Q1" s="488"/>
      <c r="R1" s="488"/>
      <c r="S1" s="334"/>
      <c r="T1" s="334"/>
      <c r="U1" s="334"/>
      <c r="V1" s="403"/>
      <c r="W1" s="334"/>
      <c r="X1" s="334"/>
      <c r="Y1" s="334"/>
      <c r="Z1" s="403"/>
      <c r="AA1" s="334"/>
      <c r="AB1" s="334"/>
    </row>
    <row r="2" spans="1:32" ht="30">
      <c r="A2" s="333" t="s">
        <v>401</v>
      </c>
      <c r="B2" s="334"/>
      <c r="C2" s="334"/>
      <c r="D2" s="334"/>
      <c r="E2" s="335"/>
      <c r="F2" s="334"/>
      <c r="G2" s="334"/>
      <c r="H2" s="334"/>
      <c r="I2" s="334"/>
      <c r="J2" s="403"/>
      <c r="K2" s="334"/>
      <c r="L2" s="334"/>
      <c r="M2" s="334"/>
      <c r="N2" s="403"/>
      <c r="O2" s="334"/>
      <c r="P2" s="334"/>
      <c r="Q2" s="334"/>
      <c r="R2" s="334"/>
      <c r="S2" s="334"/>
      <c r="T2" s="334"/>
      <c r="U2" s="334"/>
      <c r="V2" s="403"/>
      <c r="W2" s="334"/>
      <c r="X2" s="334"/>
      <c r="Y2" s="334"/>
      <c r="Z2" s="403"/>
      <c r="AA2" s="334"/>
      <c r="AB2" s="334"/>
    </row>
    <row r="3" spans="1:32" ht="30">
      <c r="A3" s="333"/>
      <c r="B3" s="334"/>
      <c r="C3" s="334"/>
      <c r="D3" s="334"/>
      <c r="E3" s="335"/>
      <c r="F3" s="334"/>
      <c r="G3" s="334"/>
      <c r="H3" s="334"/>
      <c r="I3" s="334"/>
      <c r="J3" s="403"/>
      <c r="K3" s="334"/>
      <c r="L3" s="334"/>
      <c r="M3" s="334"/>
      <c r="N3" s="403"/>
      <c r="O3" s="334"/>
      <c r="P3" s="334"/>
      <c r="Q3" s="334"/>
      <c r="R3" s="334"/>
      <c r="S3" s="334"/>
      <c r="T3" s="334"/>
      <c r="U3" s="334"/>
      <c r="V3" s="403"/>
      <c r="W3" s="334"/>
      <c r="X3" s="334"/>
      <c r="Y3" s="334"/>
      <c r="Z3" s="403"/>
      <c r="AA3" s="334"/>
      <c r="AB3" s="334"/>
    </row>
    <row r="4" spans="1:32" ht="30">
      <c r="A4" s="333"/>
      <c r="B4" s="334"/>
      <c r="C4" s="334"/>
      <c r="D4" s="334"/>
      <c r="E4" s="335"/>
      <c r="F4" s="334"/>
      <c r="G4" s="334"/>
      <c r="H4" s="334"/>
      <c r="I4" s="334"/>
      <c r="J4" s="403"/>
      <c r="K4" s="334"/>
      <c r="L4" s="334"/>
      <c r="M4" s="334"/>
      <c r="N4" s="403"/>
      <c r="O4" s="334"/>
      <c r="P4" s="334"/>
      <c r="Q4" s="334"/>
      <c r="R4" s="334"/>
      <c r="S4" s="334"/>
      <c r="T4" s="334"/>
      <c r="U4" s="334"/>
      <c r="V4" s="403"/>
      <c r="W4" s="334"/>
      <c r="X4" s="334"/>
      <c r="Y4" s="334"/>
      <c r="Z4" s="403"/>
      <c r="AA4" s="334"/>
      <c r="AB4" s="334"/>
    </row>
    <row r="5" spans="1:32" ht="30">
      <c r="A5" s="333"/>
      <c r="B5" s="334"/>
      <c r="C5" s="334"/>
      <c r="D5" s="334"/>
      <c r="E5" s="335"/>
      <c r="F5" s="334"/>
      <c r="G5" s="334"/>
      <c r="H5" s="334"/>
      <c r="I5" s="334"/>
      <c r="J5" s="403"/>
      <c r="K5" s="334"/>
      <c r="L5" s="334"/>
      <c r="M5" s="334"/>
      <c r="N5" s="403"/>
      <c r="O5" s="334"/>
      <c r="P5" s="334"/>
      <c r="Q5" s="334"/>
      <c r="R5" s="334"/>
      <c r="S5" s="334"/>
      <c r="T5" s="334"/>
      <c r="U5" s="334"/>
      <c r="V5" s="403"/>
      <c r="W5" s="334"/>
      <c r="X5" s="334"/>
      <c r="Y5" s="334"/>
      <c r="Z5" s="403"/>
      <c r="AA5" s="334"/>
      <c r="AB5" s="334"/>
    </row>
    <row r="6" spans="1:32" ht="30">
      <c r="A6" s="333"/>
      <c r="B6" s="334"/>
      <c r="C6" s="334"/>
      <c r="D6" s="334"/>
      <c r="E6" s="335"/>
      <c r="F6" s="334"/>
      <c r="G6" s="334"/>
      <c r="H6" s="334"/>
      <c r="I6" s="334"/>
      <c r="J6" s="403"/>
      <c r="K6" s="334"/>
      <c r="L6" s="334"/>
      <c r="M6" s="334"/>
      <c r="N6" s="403"/>
      <c r="O6" s="334"/>
      <c r="P6" s="334"/>
      <c r="Q6" s="334"/>
      <c r="R6" s="334"/>
      <c r="S6" s="334"/>
      <c r="T6" s="334"/>
      <c r="U6" s="334"/>
      <c r="V6" s="403"/>
      <c r="W6" s="334"/>
      <c r="X6" s="334"/>
      <c r="Y6" s="334"/>
      <c r="Z6" s="403"/>
      <c r="AA6" s="334"/>
      <c r="AB6" s="334"/>
    </row>
    <row r="7" spans="1:32" ht="30">
      <c r="A7" s="333"/>
      <c r="B7" s="334"/>
      <c r="C7" s="334"/>
      <c r="D7" s="334"/>
      <c r="E7" s="335"/>
      <c r="F7" s="334"/>
      <c r="G7" s="334"/>
      <c r="H7" s="334"/>
      <c r="I7" s="334"/>
      <c r="J7" s="403"/>
      <c r="K7" s="334"/>
      <c r="L7" s="334"/>
      <c r="M7" s="334"/>
      <c r="N7" s="403"/>
      <c r="O7" s="334"/>
      <c r="P7" s="334"/>
      <c r="Q7" s="334"/>
      <c r="R7" s="334"/>
      <c r="S7" s="334"/>
      <c r="T7" s="334"/>
      <c r="U7" s="334"/>
      <c r="V7" s="403"/>
      <c r="W7" s="334"/>
      <c r="X7" s="334"/>
      <c r="Y7" s="334"/>
      <c r="Z7" s="403"/>
      <c r="AA7" s="334"/>
      <c r="AB7" s="334"/>
    </row>
    <row r="8" spans="1:32" ht="30">
      <c r="A8" s="333"/>
      <c r="B8" s="334"/>
      <c r="C8" s="334"/>
      <c r="D8" s="334"/>
      <c r="E8" s="335"/>
      <c r="F8" s="334"/>
      <c r="G8" s="334"/>
      <c r="H8" s="334"/>
      <c r="I8" s="334"/>
      <c r="J8" s="403"/>
      <c r="K8" s="334"/>
      <c r="L8" s="334"/>
      <c r="M8" s="334"/>
      <c r="N8" s="403"/>
      <c r="O8" s="334"/>
      <c r="P8" s="334"/>
      <c r="Q8" s="334"/>
      <c r="R8" s="334"/>
      <c r="S8" s="334"/>
      <c r="T8" s="334"/>
      <c r="U8" s="334"/>
      <c r="V8" s="403"/>
      <c r="W8" s="334"/>
      <c r="X8" s="334"/>
      <c r="Y8" s="334"/>
      <c r="Z8" s="403"/>
      <c r="AA8" s="334"/>
      <c r="AB8" s="334"/>
    </row>
    <row r="9" spans="1:32" ht="31" thickBot="1">
      <c r="A9" s="333"/>
      <c r="B9" s="334"/>
      <c r="C9" s="334"/>
      <c r="D9" s="334"/>
      <c r="E9" s="335"/>
      <c r="F9" s="334"/>
      <c r="G9" s="334"/>
      <c r="H9" s="334"/>
      <c r="I9" s="334"/>
      <c r="J9" s="403"/>
      <c r="K9" s="334"/>
      <c r="L9" s="334"/>
      <c r="M9" s="334"/>
      <c r="N9" s="403"/>
      <c r="O9" s="334"/>
      <c r="P9" s="334"/>
      <c r="Q9" s="334"/>
      <c r="R9" s="334"/>
      <c r="S9" s="334"/>
      <c r="T9" s="334"/>
      <c r="U9" s="334"/>
      <c r="V9" s="403"/>
      <c r="W9" s="334"/>
      <c r="X9" s="334"/>
      <c r="Y9" s="334"/>
      <c r="Z9" s="403"/>
      <c r="AA9" s="334"/>
      <c r="AB9" s="334"/>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757698518.24440241</v>
      </c>
      <c r="AF11" s="18">
        <f>X13*O13</f>
        <v>17401614064.705509</v>
      </c>
    </row>
    <row r="12" spans="1:32" ht="15" customHeight="1" thickBot="1">
      <c r="A12" s="268"/>
      <c r="B12" s="268" t="s">
        <v>48</v>
      </c>
      <c r="C12" s="269">
        <f>SUM(C15:C17,C23:C39)</f>
        <v>597934274.11388707</v>
      </c>
      <c r="D12" s="269"/>
      <c r="E12" s="269">
        <f>SUM(E15:E17,E23:E39)</f>
        <v>2.6230054976854773E-2</v>
      </c>
      <c r="F12" s="270"/>
      <c r="G12" s="270"/>
      <c r="H12" s="270"/>
      <c r="I12" s="270"/>
      <c r="J12" s="270"/>
      <c r="K12" s="501"/>
      <c r="L12" s="270"/>
      <c r="M12" s="270"/>
      <c r="N12" s="270"/>
      <c r="O12" s="276">
        <f>SUM(O15:O17,O23:O39)</f>
        <v>17505864499.389172</v>
      </c>
      <c r="P12" s="268"/>
      <c r="Q12" s="269">
        <f>SUM(Q15:Q17,Q23:Q39)</f>
        <v>0.76794358195444279</v>
      </c>
      <c r="R12" s="270"/>
      <c r="S12" s="270"/>
      <c r="T12" s="270"/>
      <c r="U12" s="270"/>
      <c r="V12" s="270"/>
      <c r="W12" s="501"/>
      <c r="X12" s="270"/>
      <c r="Y12" s="270"/>
      <c r="Z12" s="270"/>
      <c r="AA12" s="235"/>
      <c r="AB12" s="236"/>
      <c r="AD12" s="16" t="s">
        <v>887</v>
      </c>
      <c r="AE12" s="18">
        <f>K13*C13</f>
        <v>790021231.75737047</v>
      </c>
      <c r="AF12" s="18">
        <f>W13*O13</f>
        <v>883274366.24312317</v>
      </c>
    </row>
    <row r="13" spans="1:32" ht="15" customHeight="1" thickTop="1" thickBot="1">
      <c r="A13" s="271"/>
      <c r="B13" s="271" t="s">
        <v>870</v>
      </c>
      <c r="C13" s="272">
        <f>SUM(C15:C17,C23:C36)</f>
        <v>1676993979.4468775</v>
      </c>
      <c r="D13" s="272"/>
      <c r="E13" s="272">
        <f>SUM(E15:E17,E23:E36)</f>
        <v>7.3566019178167796E-2</v>
      </c>
      <c r="F13" s="282">
        <f>(SUMPRODUCT(F15:F17,$C$15:$C$17)+SUMPRODUCT(F23:F36,$C$23:$C$36))/SUM($C$15:$C$17,$C$23:$C$36)</f>
        <v>0.76801262335522635</v>
      </c>
      <c r="G13" s="282">
        <f t="shared" ref="G13:I13" si="0">(SUMPRODUCT(G15:G17,$C$15:$C$17)+SUMPRODUCT(G23:G36,$C$23:$C$36))/SUM($C$15:$C$17,$C$23:$C$36)</f>
        <v>5.2621222392640221E-2</v>
      </c>
      <c r="H13" s="282">
        <f t="shared" si="0"/>
        <v>4.186444744833559E-2</v>
      </c>
      <c r="I13" s="282">
        <f t="shared" si="0"/>
        <v>0.13750170680379789</v>
      </c>
      <c r="J13" s="430">
        <f>SUM(F13:I13)</f>
        <v>1</v>
      </c>
      <c r="K13" s="393">
        <f>(SUMPRODUCT(K15:K17,$C$15:$C$17)+SUMPRODUCT(K23:K36,$C$23:$C$36))/SUM($C$15:$C$17,$C$23:$C$36)</f>
        <v>0.47109366010839404</v>
      </c>
      <c r="L13" s="282">
        <f>(SUMPRODUCT(L15:L17,$C$15:$C$17)+SUMPRODUCT(L23:L36,$C$23:$C$36))/SUM($C$15:$C$17,$C$23:$C$36)</f>
        <v>0.45181946240159665</v>
      </c>
      <c r="M13" s="282">
        <f>(SUMPRODUCT(M15:M17,$C$15:$C$17)+SUMPRODUCT(M23:M36,$C$23:$C$36))/SUM($C$15:$C$17,$C$23:$C$36)</f>
        <v>7.7086877490009337E-2</v>
      </c>
      <c r="N13" s="430">
        <f>SUM(K13:M13)</f>
        <v>1</v>
      </c>
      <c r="O13" s="277">
        <f>SUM(O15:O17,O23:O36)</f>
        <v>18584924204.72216</v>
      </c>
      <c r="P13" s="271"/>
      <c r="Q13" s="272">
        <f>SUM(Q15:Q17,Q23:Q36)</f>
        <v>0.81527954615575582</v>
      </c>
      <c r="R13" s="282">
        <f>(SUMPRODUCT(R15:R17,$O$15:$O$17)+SUMPRODUCT(R23:R36,$O$23:$O$36))/SUM($O$15:$O$17,$O$23:$O$36)</f>
        <v>0.49991853713412637</v>
      </c>
      <c r="S13" s="282">
        <f t="shared" ref="S13:Y13" si="1">(SUMPRODUCT(S15:S17,$O$15:$O$17)+SUMPRODUCT(S23:S36,$O$23:$O$36))/SUM($O$15:$O$17,$O$23:$O$36)</f>
        <v>0.22499494489656754</v>
      </c>
      <c r="T13" s="282">
        <f t="shared" si="1"/>
        <v>0.26269183004084917</v>
      </c>
      <c r="U13" s="282">
        <f t="shared" si="1"/>
        <v>1.2394687928456809E-2</v>
      </c>
      <c r="V13" s="430">
        <f>SUM(R13:U13)</f>
        <v>0.99999999999999989</v>
      </c>
      <c r="W13" s="393">
        <f t="shared" si="1"/>
        <v>4.7526390557928448E-2</v>
      </c>
      <c r="X13" s="282">
        <f>(SUMPRODUCT(X15:X17,$O$15:$O$17)+SUMPRODUCT(X23:X36,$O$23:$O$36))/SUM($O$15:$O$17,$O$23:$O$36)</f>
        <v>0.93632956868793749</v>
      </c>
      <c r="Y13" s="282">
        <f t="shared" si="1"/>
        <v>1.6144040754134018E-2</v>
      </c>
      <c r="Z13" s="430">
        <f>SUM(W13:Y13)</f>
        <v>0.99999999999999989</v>
      </c>
      <c r="AA13" s="702"/>
      <c r="AB13" s="703"/>
      <c r="AD13" s="16" t="s">
        <v>888</v>
      </c>
      <c r="AE13" s="18">
        <f>M13*C13</f>
        <v>129274229.44510467</v>
      </c>
      <c r="AF13" s="18">
        <f>Y13*O13</f>
        <v>300035773.77352631</v>
      </c>
    </row>
    <row r="14" spans="1:32" ht="15" customHeight="1" thickTop="1" thickBot="1">
      <c r="A14" s="224" t="s">
        <v>591</v>
      </c>
      <c r="B14" s="232"/>
      <c r="C14" s="232"/>
      <c r="D14" s="232"/>
      <c r="E14" s="232"/>
      <c r="F14" s="520"/>
      <c r="G14" s="244"/>
      <c r="H14" s="244"/>
      <c r="I14" s="244"/>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32"/>
      <c r="B15" s="232" t="s">
        <v>402</v>
      </c>
      <c r="C15" s="243">
        <f>'Intermediate o&amp;g entries'!$B$13*10^6</f>
        <v>23169546.1305</v>
      </c>
      <c r="D15" s="243">
        <f t="shared" ref="D15:D20" si="2">C15/AA15</f>
        <v>6.3343864653247735E-4</v>
      </c>
      <c r="E15" s="243">
        <f t="shared" ref="E15:E20" si="3">C15/AB15</f>
        <v>1.0163967765394115E-3</v>
      </c>
      <c r="F15" s="240">
        <f>'Intermediate o&amp;g entries'!$B$17/'Intermediate o&amp;g entries'!$B$13</f>
        <v>0.91429956358165587</v>
      </c>
      <c r="G15" s="240"/>
      <c r="H15" s="240">
        <f>'Intermediate o&amp;g entries'!$B$19/'Intermediate o&amp;g entries'!$B$13</f>
        <v>4.1702240611206941E-2</v>
      </c>
      <c r="I15" s="240">
        <f>'Intermediate o&amp;g entries'!$B$20/'Intermediate o&amp;g entries'!$B$13</f>
        <v>4.3998195807137208E-2</v>
      </c>
      <c r="J15" s="430">
        <f t="shared" ref="J15:J39" si="4">SUM(F15:I15)</f>
        <v>1</v>
      </c>
      <c r="K15" s="299">
        <f>'Intermediate o&amp;g entries'!$B$14*10^6/$C$15</f>
        <v>0.59429471632807629</v>
      </c>
      <c r="L15" s="300">
        <f>'Intermediate o&amp;g entries'!$B$15*10^6/$C$15</f>
        <v>0.32000484725357953</v>
      </c>
      <c r="M15" s="240">
        <f>'Intermediate o&amp;g entries'!$B$16*10^6/$C$15</f>
        <v>8.5700436418344142E-2</v>
      </c>
      <c r="N15" s="430">
        <f t="shared" ref="N15:N20" si="5">SUM(K15:M15)</f>
        <v>0.99999999999999989</v>
      </c>
      <c r="O15" s="677">
        <f>C15-'Intermediate o&amp;g entries'!B16*10^6</f>
        <v>21183905.915501192</v>
      </c>
      <c r="P15" s="243">
        <f t="shared" ref="P15:P20" si="6">O15/AA15</f>
        <v>5.7915267808039878E-4</v>
      </c>
      <c r="Q15" s="243">
        <f t="shared" ref="Q15:Q20" si="7">O15/AB15</f>
        <v>9.292911292157857E-4</v>
      </c>
      <c r="R15" s="240">
        <f>'Intermediate o&amp;g entries'!$B$17/('Intermediate o&amp;g entries'!$B$13-'Intermediate o&amp;g entries'!$B$16)</f>
        <v>1</v>
      </c>
      <c r="S15" s="240"/>
      <c r="T15" s="240"/>
      <c r="U15" s="240"/>
      <c r="V15" s="430">
        <f t="shared" ref="V15:V20" si="8">SUM(R15:U15)</f>
        <v>1</v>
      </c>
      <c r="W15" s="299">
        <f>'Intermediate o&amp;g entries'!$B$14*10^6/$O$15</f>
        <v>0.65</v>
      </c>
      <c r="X15" s="300">
        <f>'Intermediate o&amp;g entries'!$B$15*10^6/$O$15</f>
        <v>0.35</v>
      </c>
      <c r="Y15" s="240"/>
      <c r="Z15" s="430">
        <f t="shared" ref="Z15:Z20" si="9">SUM(W15:Y15)</f>
        <v>1</v>
      </c>
      <c r="AA15" s="706">
        <f>'Energy data by fuel cycle'!$B$65</f>
        <v>36577411651.993454</v>
      </c>
      <c r="AB15" s="707">
        <f t="shared" ref="AB15:AB20" si="10">$AB$39</f>
        <v>22795769000.160328</v>
      </c>
      <c r="AD15" s="419" t="s">
        <v>267</v>
      </c>
      <c r="AE15" s="18">
        <f>F13*C13</f>
        <v>1287952545.5059168</v>
      </c>
      <c r="AF15" s="18">
        <f>R13*O13</f>
        <v>9290948121.1733189</v>
      </c>
    </row>
    <row r="16" spans="1:32" ht="15" customHeight="1" thickTop="1" thickBot="1">
      <c r="A16" s="232"/>
      <c r="B16" s="232" t="s">
        <v>403</v>
      </c>
      <c r="C16" s="243">
        <f>'Intermediate o&amp;g entries'!$K$13*10^6</f>
        <v>214153846.15384617</v>
      </c>
      <c r="D16" s="243">
        <f t="shared" si="2"/>
        <v>1.2031964792311636E-2</v>
      </c>
      <c r="E16" s="243">
        <f t="shared" si="3"/>
        <v>9.3944558813672824E-3</v>
      </c>
      <c r="F16" s="240">
        <f>'Intermediate o&amp;g entries'!$K$17/'Intermediate o&amp;g entries'!$K$13</f>
        <v>0.96000000000000008</v>
      </c>
      <c r="G16" s="240"/>
      <c r="H16" s="240">
        <f>'Intermediate o&amp;g entries'!$K$19/'Intermediate o&amp;g entries'!$K$13</f>
        <v>4.0000000000000008E-2</v>
      </c>
      <c r="I16" s="240"/>
      <c r="J16" s="430">
        <f t="shared" si="4"/>
        <v>1</v>
      </c>
      <c r="K16" s="299">
        <f>'Intermediate o&amp;g entries'!$K$14*10^6/$C$16</f>
        <v>0.62399999999999989</v>
      </c>
      <c r="L16" s="300">
        <f>'Intermediate o&amp;g entries'!$K$15*10^6/$C$16</f>
        <v>0.33599999999999997</v>
      </c>
      <c r="M16" s="240">
        <f>'Intermediate o&amp;g entries'!$K$16*10^6/$C$16</f>
        <v>0.04</v>
      </c>
      <c r="N16" s="430">
        <f t="shared" si="5"/>
        <v>0.99999999999999989</v>
      </c>
      <c r="O16" s="677">
        <f>C16-'Intermediate o&amp;g entries'!K16*10^6</f>
        <v>205587692.30769232</v>
      </c>
      <c r="P16" s="243">
        <f t="shared" si="6"/>
        <v>1.155068620061917E-2</v>
      </c>
      <c r="Q16" s="243">
        <f t="shared" si="7"/>
        <v>9.0186776461125915E-3</v>
      </c>
      <c r="R16" s="240">
        <f>'Intermediate o&amp;g entries'!$K$17/('Intermediate o&amp;g entries'!$K$13-'Intermediate o&amp;g entries'!$K$16)</f>
        <v>1</v>
      </c>
      <c r="S16" s="240"/>
      <c r="T16" s="240"/>
      <c r="U16" s="240"/>
      <c r="V16" s="430">
        <f t="shared" si="8"/>
        <v>1</v>
      </c>
      <c r="W16" s="299">
        <f>'Intermediate o&amp;g entries'!$K$14*10^6/$O$16</f>
        <v>0.64999999999999991</v>
      </c>
      <c r="X16" s="300">
        <f>'Intermediate o&amp;g entries'!$K$15*10^6/$O$16</f>
        <v>0.35</v>
      </c>
      <c r="Y16" s="240"/>
      <c r="Z16" s="430">
        <f t="shared" si="9"/>
        <v>0.99999999999999989</v>
      </c>
      <c r="AA16" s="706">
        <f>'Energy data by fuel cycle'!$B$67</f>
        <v>17798742753.19434</v>
      </c>
      <c r="AB16" s="707">
        <f t="shared" si="10"/>
        <v>22795769000.160328</v>
      </c>
      <c r="AD16" s="419" t="s">
        <v>654</v>
      </c>
      <c r="AE16" s="18">
        <f>G13*C13</f>
        <v>88245473.143592864</v>
      </c>
      <c r="AF16" s="18">
        <f>S13*O13</f>
        <v>4181513997.3483467</v>
      </c>
    </row>
    <row r="17" spans="1:32" ht="15" customHeight="1" thickTop="1" thickBot="1">
      <c r="A17" s="232"/>
      <c r="B17" s="232" t="s">
        <v>505</v>
      </c>
      <c r="C17" s="243">
        <f>'Intermediate o&amp;g entries'!$Q$13*10^6-('Intermediate o&amp;g entries'!B16+'Intermediate o&amp;g entries'!K16)*10^6</f>
        <v>320388241.77198184</v>
      </c>
      <c r="D17" s="243">
        <f t="shared" si="2"/>
        <v>8.7591829848496349E-3</v>
      </c>
      <c r="E17" s="243">
        <f t="shared" si="3"/>
        <v>1.4054724004692647E-2</v>
      </c>
      <c r="F17" s="240">
        <f>('Intermediate o&amp;g entries'!$Q$17)/('Intermediate o&amp;g entries'!$Q$13-'Intermediate o&amp;g entries'!$B$16-'Intermediate o&amp;g entries'!$K$16)</f>
        <v>0.12750992150845997</v>
      </c>
      <c r="G17" s="240">
        <f>('Intermediate o&amp;g entries'!$Q$18)/('Intermediate o&amp;g entries'!$Q$13-'Intermediate o&amp;g entries'!$B$16-'Intermediate o&amp;g entries'!$K$16)</f>
        <v>0.1276761974773562</v>
      </c>
      <c r="H17" s="240">
        <f>('Intermediate o&amp;g entries'!$Q$19-'Intermediate o&amp;g entries'!K19-'Intermediate o&amp;g entries'!B19)/('Intermediate o&amp;g entries'!$Q$13-'Intermediate o&amp;g entries'!$B$16-'Intermediate o&amp;g entries'!$K$16)</f>
        <v>5.5050736580335179E-2</v>
      </c>
      <c r="I17" s="240">
        <f>('Intermediate o&amp;g entries'!$Q$20-'Intermediate o&amp;g entries'!K20-'Intermediate o&amp;g entries'!B20)/('Intermediate o&amp;g entries'!$Q$13-'Intermediate o&amp;g entries'!$B$16-'Intermediate o&amp;g entries'!$K$16)</f>
        <v>0.68976314443384856</v>
      </c>
      <c r="J17" s="430">
        <f t="shared" si="4"/>
        <v>0.99999999999999989</v>
      </c>
      <c r="K17" s="299">
        <v>1</v>
      </c>
      <c r="L17" s="300"/>
      <c r="M17" s="240"/>
      <c r="N17" s="430">
        <f t="shared" si="5"/>
        <v>1</v>
      </c>
      <c r="O17" s="677">
        <f>'Intermediate o&amp;g entries'!$Q$13*10^6</f>
        <v>330940035.83313447</v>
      </c>
      <c r="P17" s="243">
        <f t="shared" si="6"/>
        <v>9.0476614086797569E-3</v>
      </c>
      <c r="Q17" s="243">
        <f t="shared" si="7"/>
        <v>1.4517607887270962E-2</v>
      </c>
      <c r="R17" s="240">
        <f>'Intermediate o&amp;g entries'!$Q$17/'Intermediate o&amp;g entries'!$Q$13</f>
        <v>0.12344435588680938</v>
      </c>
      <c r="S17" s="240">
        <f>'Intermediate o&amp;g entries'!$Q$18/'Intermediate o&amp;g entries'!$Q$13</f>
        <v>0.12360533026148568</v>
      </c>
      <c r="T17" s="240">
        <f>'Intermediate o&amp;g entries'!$Q$19/'Intermediate o&amp;g entries'!$Q$13</f>
        <v>8.2099418604843835E-2</v>
      </c>
      <c r="U17" s="240">
        <f>'Intermediate o&amp;g entries'!$Q$20/'Intermediate o&amp;g entries'!$Q$13</f>
        <v>0.67085089524686115</v>
      </c>
      <c r="V17" s="430">
        <f t="shared" si="8"/>
        <v>1</v>
      </c>
      <c r="W17" s="299">
        <v>1</v>
      </c>
      <c r="X17" s="300"/>
      <c r="Y17" s="240"/>
      <c r="Z17" s="430">
        <f t="shared" si="9"/>
        <v>1</v>
      </c>
      <c r="AA17" s="706">
        <f>'Energy data by fuel cycle'!$B$65</f>
        <v>36577411651.993454</v>
      </c>
      <c r="AB17" s="707">
        <f t="shared" si="10"/>
        <v>22795769000.160328</v>
      </c>
      <c r="AD17" s="16" t="s">
        <v>889</v>
      </c>
      <c r="AE17" s="18">
        <f>H13*C13</f>
        <v>70206426.323728979</v>
      </c>
      <c r="AF17" s="18">
        <f>T13*O13</f>
        <v>4882107750.5089378</v>
      </c>
    </row>
    <row r="18" spans="1:32" ht="15" customHeight="1" thickTop="1" thickBot="1">
      <c r="A18" s="245"/>
      <c r="B18" s="338" t="s">
        <v>18</v>
      </c>
      <c r="C18" s="339">
        <f>'Intermediate o&amp;g entries'!W13*10^6-'Intermediate o&amp;g entries'!H16*10^6</f>
        <v>109215351.02580056</v>
      </c>
      <c r="D18" s="243">
        <f t="shared" si="2"/>
        <v>5.8159261241772474E-3</v>
      </c>
      <c r="E18" s="243">
        <f t="shared" si="3"/>
        <v>4.7910360481821174E-3</v>
      </c>
      <c r="F18" s="240"/>
      <c r="G18" s="240"/>
      <c r="H18" s="240"/>
      <c r="I18" s="240">
        <v>1</v>
      </c>
      <c r="J18" s="430">
        <f t="shared" si="4"/>
        <v>1</v>
      </c>
      <c r="K18" s="299">
        <v>1</v>
      </c>
      <c r="L18" s="300"/>
      <c r="M18" s="240"/>
      <c r="N18" s="430">
        <f t="shared" si="5"/>
        <v>1</v>
      </c>
      <c r="O18" s="690">
        <f>'Intermediate o&amp;g entries'!W13*10^6</f>
        <v>110234769.25321279</v>
      </c>
      <c r="P18" s="243">
        <f t="shared" si="6"/>
        <v>5.8702120926293266E-3</v>
      </c>
      <c r="Q18" s="243">
        <f t="shared" si="7"/>
        <v>4.8357556725740413E-3</v>
      </c>
      <c r="R18" s="240"/>
      <c r="S18" s="240"/>
      <c r="T18" s="240"/>
      <c r="U18" s="240">
        <v>1</v>
      </c>
      <c r="V18" s="430">
        <f t="shared" si="8"/>
        <v>1</v>
      </c>
      <c r="W18" s="299">
        <v>1</v>
      </c>
      <c r="X18" s="300"/>
      <c r="Y18" s="240"/>
      <c r="Z18" s="430">
        <f t="shared" si="9"/>
        <v>1</v>
      </c>
      <c r="AA18" s="706">
        <f>'Energy data by fuel cycle'!$B$66</f>
        <v>18778668898.799114</v>
      </c>
      <c r="AB18" s="707">
        <f t="shared" si="10"/>
        <v>22795769000.160328</v>
      </c>
      <c r="AD18" s="16" t="s">
        <v>890</v>
      </c>
      <c r="AE18" s="18">
        <f>I13*C13</f>
        <v>230589534.4736388</v>
      </c>
      <c r="AF18" s="18">
        <f>U13*O13</f>
        <v>230354335.69155452</v>
      </c>
    </row>
    <row r="19" spans="1:32" ht="15" customHeight="1" thickTop="1" thickBot="1">
      <c r="A19" s="232"/>
      <c r="B19" s="338" t="s">
        <v>506</v>
      </c>
      <c r="C19" s="339">
        <f>'Intermediate o&amp;g entries'!T13*10^6-SUM('Intermediate o&amp;g entries'!$E$16,'Intermediate o&amp;g entries'!$K$16)*10^6*('Intermediate o&amp;g entries'!T13/SUM('Intermediate o&amp;g entries'!$T$13,'Intermediate o&amp;g entries'!$T$34))</f>
        <v>104560447.22152855</v>
      </c>
      <c r="D19" s="243">
        <f t="shared" si="2"/>
        <v>6.4240468707711055E-3</v>
      </c>
      <c r="E19" s="243">
        <f t="shared" si="3"/>
        <v>4.5868357071346504E-3</v>
      </c>
      <c r="F19" s="240"/>
      <c r="G19" s="240"/>
      <c r="H19" s="240">
        <f>('Intermediate o&amp;g entries'!$T$19-($O19/SUM($O$19:$O$20))*('Intermediate o&amp;g entries'!$K$19+'Intermediate o&amp;g entries'!$E$19))/('Intermediate o&amp;g entries'!$T$13-($O19/SUM($O$19:$O$20))*('Intermediate o&amp;g entries'!$K$16+'Intermediate o&amp;g entries'!$E$16))</f>
        <v>5.8149385877007138E-2</v>
      </c>
      <c r="I19" s="240">
        <f>('Intermediate o&amp;g entries'!$T$20-($O19/SUM($O$19:$O$20))*('Intermediate o&amp;g entries'!$K$20+'Intermediate o&amp;g entries'!$E$20))/('Intermediate o&amp;g entries'!$T$13-($O19/SUM($O$19:$O$20))*('Intermediate o&amp;g entries'!$K$16+'Intermediate o&amp;g entries'!$E$16))</f>
        <v>0.94185061412299298</v>
      </c>
      <c r="J19" s="430">
        <f t="shared" si="4"/>
        <v>1.0000000000000002</v>
      </c>
      <c r="K19" s="299">
        <v>1</v>
      </c>
      <c r="L19" s="300"/>
      <c r="M19" s="240"/>
      <c r="N19" s="430">
        <f t="shared" si="5"/>
        <v>1</v>
      </c>
      <c r="O19" s="690">
        <f>'Intermediate o&amp;g entries'!$T$13*10^6</f>
        <v>109280321.42857145</v>
      </c>
      <c r="P19" s="243">
        <f t="shared" si="6"/>
        <v>6.714029306155566E-3</v>
      </c>
      <c r="Q19" s="243">
        <f t="shared" si="7"/>
        <v>4.7938861561460308E-3</v>
      </c>
      <c r="R19" s="240"/>
      <c r="S19" s="240"/>
      <c r="T19" s="240">
        <f>'Intermediate o&amp;g entries'!$T$19/'Intermediate o&amp;g entries'!$T$13</f>
        <v>9.8828406238347058E-2</v>
      </c>
      <c r="U19" s="240">
        <f>'Intermediate o&amp;g entries'!$T$20/'Intermediate o&amp;g entries'!$T$13</f>
        <v>0.90117159376165301</v>
      </c>
      <c r="V19" s="430">
        <f t="shared" si="8"/>
        <v>1</v>
      </c>
      <c r="W19" s="299">
        <v>1</v>
      </c>
      <c r="X19" s="300"/>
      <c r="Y19" s="240"/>
      <c r="Z19" s="430">
        <f t="shared" si="9"/>
        <v>1</v>
      </c>
      <c r="AA19" s="706">
        <f>'Energy data by fuel cycle'!$B$68</f>
        <v>16276414124.135696</v>
      </c>
      <c r="AB19" s="707">
        <f t="shared" si="10"/>
        <v>22795769000.160328</v>
      </c>
    </row>
    <row r="20" spans="1:32" ht="15" customHeight="1" thickTop="1" thickBot="1">
      <c r="A20" s="232"/>
      <c r="B20" s="338" t="s">
        <v>280</v>
      </c>
      <c r="C20" s="339">
        <f>'Intermediate o&amp;g entries'!$T$34*10^6-SUM('Intermediate o&amp;g entries'!$E$16,'Intermediate o&amp;g entries'!$K$16)*10^6*('Intermediate o&amp;g entries'!T34/SUM('Intermediate o&amp;g entries'!$T$13,'Intermediate o&amp;g entries'!$T$34))</f>
        <v>106612443.52465272</v>
      </c>
      <c r="D20" s="243">
        <f t="shared" si="2"/>
        <v>7.0032476227277027E-2</v>
      </c>
      <c r="E20" s="243">
        <f t="shared" si="3"/>
        <v>4.6768522493758772E-3</v>
      </c>
      <c r="F20" s="240">
        <f>'Intermediate o&amp;g entries'!$T$38/('Intermediate o&amp;g entries'!$T$34-($O20/SUM($O$19:$O$20))*('Intermediate o&amp;g entries'!$K$16+'Intermediate o&amp;g entries'!$E$16))</f>
        <v>0.38318866175440636</v>
      </c>
      <c r="G20" s="240">
        <f>'Intermediate o&amp;g entries'!$T$39/('Intermediate o&amp;g entries'!$T$34-($O20/SUM($O$19:$O$20))*('Intermediate o&amp;g entries'!$K$16+'Intermediate o&amp;g entries'!$E$16))</f>
        <v>0.38368834887874537</v>
      </c>
      <c r="H20" s="240">
        <f>('Intermediate o&amp;g entries'!$T$40-($O20/SUM($O$19:$O$20))*('Intermediate o&amp;g entries'!$K$19+'Intermediate o&amp;g entries'!$E$19))/('Intermediate o&amp;g entries'!$T$34-($O20/SUM($O$19:$O$20))*('Intermediate o&amp;g entries'!$K$16+'Intermediate o&amp;g entries'!$E$16))</f>
        <v>0.10840650984231957</v>
      </c>
      <c r="I20" s="240">
        <f>('Intermediate o&amp;g entries'!$T$41-($O20/SUM($O$19:$O$20))*('Intermediate o&amp;g entries'!$K$20+'Intermediate o&amp;g entries'!$E$20))/('Intermediate o&amp;g entries'!$T$34-($O20/SUM($O$19:$O$20))*('Intermediate o&amp;g entries'!$K$16+'Intermediate o&amp;g entries'!$E$16))</f>
        <v>0.1247164795245287</v>
      </c>
      <c r="J20" s="430">
        <f t="shared" si="4"/>
        <v>1</v>
      </c>
      <c r="K20" s="299">
        <v>1</v>
      </c>
      <c r="L20" s="300"/>
      <c r="M20" s="240"/>
      <c r="N20" s="430">
        <f t="shared" si="5"/>
        <v>1</v>
      </c>
      <c r="O20" s="690">
        <f>'Intermediate o&amp;g entries'!T34*10^6</f>
        <v>111424945.15135024</v>
      </c>
      <c r="P20" s="243">
        <f t="shared" si="6"/>
        <v>7.3193752665777309E-2</v>
      </c>
      <c r="Q20" s="243">
        <f t="shared" si="7"/>
        <v>4.8879660585508904E-3</v>
      </c>
      <c r="R20" s="240">
        <f>'Intermediate o&amp;g entries'!$T$38/'Intermediate o&amp;g entries'!$T$34</f>
        <v>0.36663854314747985</v>
      </c>
      <c r="S20" s="240">
        <f>'Intermediate o&amp;g entries'!$T$39/'Intermediate o&amp;g entries'!$T$34</f>
        <v>0.36711664852371517</v>
      </c>
      <c r="T20" s="240">
        <f>'Intermediate o&amp;g entries'!$T$40/'Intermediate o&amp;g entries'!$T$34</f>
        <v>0.14691489874848865</v>
      </c>
      <c r="U20" s="240">
        <f>'Intermediate o&amp;g entries'!$T$41/'Intermediate o&amp;g entries'!$T$34</f>
        <v>0.11932990958031627</v>
      </c>
      <c r="V20" s="430">
        <f t="shared" si="8"/>
        <v>1</v>
      </c>
      <c r="W20" s="299">
        <v>1</v>
      </c>
      <c r="X20" s="300"/>
      <c r="Y20" s="240"/>
      <c r="Z20" s="430">
        <f t="shared" si="9"/>
        <v>1</v>
      </c>
      <c r="AA20" s="706">
        <f>'Energy data by fuel cycle'!$B$69</f>
        <v>1522328629.0586441</v>
      </c>
      <c r="AB20" s="707">
        <f t="shared" si="10"/>
        <v>22795769000.160328</v>
      </c>
      <c r="AD20" s="16" t="s">
        <v>614</v>
      </c>
      <c r="AE20" s="419"/>
    </row>
    <row r="21" spans="1:32" ht="15" customHeight="1" thickTop="1">
      <c r="A21" s="232"/>
      <c r="B21" s="232"/>
      <c r="C21" s="340"/>
      <c r="D21" s="284"/>
      <c r="E21" s="284"/>
      <c r="F21" s="240"/>
      <c r="G21" s="240"/>
      <c r="H21" s="240"/>
      <c r="I21" s="240"/>
      <c r="J21" s="425"/>
      <c r="K21" s="299"/>
      <c r="L21" s="300"/>
      <c r="M21" s="240"/>
      <c r="N21" s="425"/>
      <c r="O21" s="691"/>
      <c r="P21" s="284"/>
      <c r="Q21" s="284"/>
      <c r="R21" s="240"/>
      <c r="S21" s="240"/>
      <c r="T21" s="240"/>
      <c r="U21" s="240"/>
      <c r="V21" s="425"/>
      <c r="W21" s="299"/>
      <c r="X21" s="300"/>
      <c r="Y21" s="240"/>
      <c r="Z21" s="425"/>
      <c r="AA21" s="706"/>
      <c r="AB21" s="707"/>
      <c r="AD21" s="16" t="s">
        <v>82</v>
      </c>
    </row>
    <row r="22" spans="1:32" ht="15" customHeight="1" thickBot="1">
      <c r="A22" s="221" t="s">
        <v>66</v>
      </c>
      <c r="B22" s="232"/>
      <c r="C22" s="284"/>
      <c r="D22" s="284"/>
      <c r="E22" s="284"/>
      <c r="F22" s="240"/>
      <c r="G22" s="240"/>
      <c r="H22" s="240"/>
      <c r="I22" s="240"/>
      <c r="J22" s="425"/>
      <c r="K22" s="299"/>
      <c r="L22" s="300"/>
      <c r="M22" s="240"/>
      <c r="N22" s="425"/>
      <c r="O22" s="679"/>
      <c r="P22" s="284"/>
      <c r="Q22" s="284"/>
      <c r="R22" s="240"/>
      <c r="S22" s="240"/>
      <c r="T22" s="240"/>
      <c r="U22" s="240"/>
      <c r="V22" s="425"/>
      <c r="W22" s="299"/>
      <c r="X22" s="300"/>
      <c r="Y22" s="240"/>
      <c r="Z22" s="425"/>
      <c r="AA22" s="706"/>
      <c r="AB22" s="707"/>
      <c r="AD22" s="16" t="s">
        <v>891</v>
      </c>
    </row>
    <row r="23" spans="1:32" ht="15" customHeight="1" thickTop="1" thickBot="1">
      <c r="A23" s="232"/>
      <c r="B23" s="232" t="s">
        <v>507</v>
      </c>
      <c r="C23" s="243">
        <f>D23*AA23</f>
        <v>12436319.961677775</v>
      </c>
      <c r="D23" s="243">
        <v>3.4000000000000002E-4</v>
      </c>
      <c r="E23" s="243">
        <f>C23/AB23</f>
        <v>5.4555386842138585E-4</v>
      </c>
      <c r="F23" s="304">
        <f>F17</f>
        <v>0.12750992150845997</v>
      </c>
      <c r="G23" s="304">
        <f>G17</f>
        <v>0.1276761974773562</v>
      </c>
      <c r="H23" s="304">
        <f>H17</f>
        <v>5.5050736580335179E-2</v>
      </c>
      <c r="I23" s="304">
        <f>I17</f>
        <v>0.68976314443384856</v>
      </c>
      <c r="J23" s="430">
        <f t="shared" si="4"/>
        <v>0.99999999999999989</v>
      </c>
      <c r="K23" s="299">
        <v>1</v>
      </c>
      <c r="L23" s="300"/>
      <c r="M23" s="240"/>
      <c r="N23" s="430">
        <f>SUM(K23:M23)</f>
        <v>1</v>
      </c>
      <c r="O23" s="677">
        <f>P23*AA23</f>
        <v>12436319.961677775</v>
      </c>
      <c r="P23" s="243">
        <f>D23</f>
        <v>3.4000000000000002E-4</v>
      </c>
      <c r="Q23" s="243">
        <f>O23/AB23</f>
        <v>5.4555386842138585E-4</v>
      </c>
      <c r="R23" s="304">
        <f>R17</f>
        <v>0.12344435588680938</v>
      </c>
      <c r="S23" s="304">
        <f>S17</f>
        <v>0.12360533026148568</v>
      </c>
      <c r="T23" s="304">
        <f>T17</f>
        <v>8.2099418604843835E-2</v>
      </c>
      <c r="U23" s="304">
        <f>U17</f>
        <v>0.67085089524686115</v>
      </c>
      <c r="V23" s="430">
        <f t="shared" ref="V23:V39" si="11">SUM(R23:U23)</f>
        <v>1</v>
      </c>
      <c r="W23" s="299">
        <v>1</v>
      </c>
      <c r="X23" s="300"/>
      <c r="Y23" s="240"/>
      <c r="Z23" s="430">
        <f>SUM(W23:Y23)</f>
        <v>1</v>
      </c>
      <c r="AA23" s="706">
        <f>AA15</f>
        <v>36577411651.993454</v>
      </c>
      <c r="AB23" s="707">
        <f>$AB$39</f>
        <v>22795769000.160328</v>
      </c>
      <c r="AD23" s="16" t="s">
        <v>892</v>
      </c>
    </row>
    <row r="24" spans="1:32" ht="15" customHeight="1" thickTop="1" thickBot="1">
      <c r="A24" s="232"/>
      <c r="B24" s="232" t="s">
        <v>508</v>
      </c>
      <c r="C24" s="243">
        <v>780000</v>
      </c>
      <c r="D24" s="243">
        <f>C24/AA24</f>
        <v>4.1536490376582578E-5</v>
      </c>
      <c r="E24" s="243">
        <f>C24/AB24</f>
        <v>3.4216875947221352E-5</v>
      </c>
      <c r="F24" s="240">
        <v>1</v>
      </c>
      <c r="G24" s="240"/>
      <c r="H24" s="240"/>
      <c r="I24" s="240"/>
      <c r="J24" s="430">
        <f t="shared" si="4"/>
        <v>1</v>
      </c>
      <c r="K24" s="299">
        <v>0.4</v>
      </c>
      <c r="L24" s="300">
        <v>0.6</v>
      </c>
      <c r="M24" s="240"/>
      <c r="N24" s="430">
        <f>SUM(K24:M24)</f>
        <v>1</v>
      </c>
      <c r="O24" s="677">
        <f>(A48+A47/A49)/A46*C24</f>
        <v>857611.94029850746</v>
      </c>
      <c r="P24" s="243">
        <f>C24/AA24</f>
        <v>4.1536490376582578E-5</v>
      </c>
      <c r="Q24" s="243">
        <f>O24/AB24</f>
        <v>3.7621540220576705E-5</v>
      </c>
      <c r="R24" s="240">
        <v>1</v>
      </c>
      <c r="S24" s="240"/>
      <c r="T24" s="240"/>
      <c r="U24" s="240"/>
      <c r="V24" s="430">
        <f t="shared" si="11"/>
        <v>1</v>
      </c>
      <c r="W24" s="299">
        <v>0.4</v>
      </c>
      <c r="X24" s="300">
        <v>0.6</v>
      </c>
      <c r="Y24" s="240"/>
      <c r="Z24" s="430">
        <f>SUM(W24:Y24)</f>
        <v>1</v>
      </c>
      <c r="AA24" s="712">
        <f>'Energy data by fuel cycle'!$B$66</f>
        <v>18778668898.799114</v>
      </c>
      <c r="AB24" s="707">
        <f>$AB$39</f>
        <v>22795769000.160328</v>
      </c>
      <c r="AD24" s="16" t="s">
        <v>893</v>
      </c>
    </row>
    <row r="25" spans="1:32" ht="15" customHeight="1" thickTop="1" thickBot="1">
      <c r="A25" s="232"/>
      <c r="B25" s="232" t="s">
        <v>509</v>
      </c>
      <c r="C25" s="243">
        <v>47286000</v>
      </c>
      <c r="D25" s="243">
        <f>C25/AA25</f>
        <v>1.292765066317177E-3</v>
      </c>
      <c r="E25" s="243">
        <f>C25/AB25</f>
        <v>2.0743323026157804E-3</v>
      </c>
      <c r="F25" s="304">
        <f>F24</f>
        <v>1</v>
      </c>
      <c r="G25" s="240"/>
      <c r="H25" s="240"/>
      <c r="I25" s="240"/>
      <c r="J25" s="430">
        <f t="shared" si="4"/>
        <v>1</v>
      </c>
      <c r="K25" s="503">
        <f>K24</f>
        <v>0.4</v>
      </c>
      <c r="L25" s="497">
        <f>L24</f>
        <v>0.6</v>
      </c>
      <c r="M25" s="240"/>
      <c r="N25" s="430">
        <f>SUM(K25:M25)</f>
        <v>1</v>
      </c>
      <c r="O25" s="677">
        <v>70929000</v>
      </c>
      <c r="P25" s="243">
        <f>C25/AA25</f>
        <v>1.292765066317177E-3</v>
      </c>
      <c r="Q25" s="243">
        <f>O25/AB25</f>
        <v>3.1114984539236707E-3</v>
      </c>
      <c r="R25" s="304">
        <f>R24</f>
        <v>1</v>
      </c>
      <c r="S25" s="240"/>
      <c r="T25" s="240"/>
      <c r="U25" s="240"/>
      <c r="V25" s="430">
        <f t="shared" si="11"/>
        <v>1</v>
      </c>
      <c r="W25" s="503">
        <f>W24</f>
        <v>0.4</v>
      </c>
      <c r="X25" s="497">
        <f>X24</f>
        <v>0.6</v>
      </c>
      <c r="Y25" s="240"/>
      <c r="Z25" s="430">
        <f>SUM(W25:Y25)</f>
        <v>1</v>
      </c>
      <c r="AA25" s="706">
        <f>'Energy data by fuel cycle'!$B$65</f>
        <v>36577411651.993454</v>
      </c>
      <c r="AB25" s="707">
        <f>$AB$39</f>
        <v>22795769000.160328</v>
      </c>
    </row>
    <row r="26" spans="1:32" ht="15" customHeight="1" thickTop="1" thickBot="1">
      <c r="A26" s="232"/>
      <c r="B26" s="232" t="s">
        <v>510</v>
      </c>
      <c r="C26" s="243">
        <f>D26*$AA$26</f>
        <v>221490.49774844857</v>
      </c>
      <c r="D26" s="243">
        <v>1.1563611172762006E-2</v>
      </c>
      <c r="E26" s="243">
        <f>C26/AB26</f>
        <v>9.7162985704448398E-6</v>
      </c>
      <c r="F26" s="240">
        <v>1</v>
      </c>
      <c r="G26" s="240"/>
      <c r="H26" s="240"/>
      <c r="I26" s="240"/>
      <c r="J26" s="430">
        <f t="shared" si="4"/>
        <v>1</v>
      </c>
      <c r="K26" s="299"/>
      <c r="L26" s="300">
        <v>1</v>
      </c>
      <c r="M26" s="240"/>
      <c r="N26" s="430">
        <f>SUM(K26:M26)</f>
        <v>1</v>
      </c>
      <c r="O26" s="677">
        <f>P26*AA26</f>
        <v>354384.79639751773</v>
      </c>
      <c r="P26" s="243">
        <v>1.8501777876419209E-2</v>
      </c>
      <c r="Q26" s="243">
        <f>O26/AB26</f>
        <v>1.5546077712711744E-5</v>
      </c>
      <c r="R26" s="240">
        <v>1</v>
      </c>
      <c r="S26" s="240"/>
      <c r="T26" s="240"/>
      <c r="U26" s="240"/>
      <c r="V26" s="430">
        <f t="shared" si="11"/>
        <v>1</v>
      </c>
      <c r="W26" s="299"/>
      <c r="X26" s="300">
        <v>1</v>
      </c>
      <c r="Y26" s="240"/>
      <c r="Z26" s="430">
        <f>SUM(W26:Y26)</f>
        <v>1</v>
      </c>
      <c r="AA26" s="706">
        <f>A52*A45*GJ.per.mmbtu</f>
        <v>19154094.204600003</v>
      </c>
      <c r="AB26" s="707">
        <f>$AB$39</f>
        <v>22795769000.160328</v>
      </c>
    </row>
    <row r="27" spans="1:32" ht="15" customHeight="1" thickTop="1" thickBot="1">
      <c r="A27" s="232"/>
      <c r="B27" s="232" t="s">
        <v>511</v>
      </c>
      <c r="C27" s="243">
        <v>22277.754134744628</v>
      </c>
      <c r="D27" s="243">
        <f>C27/AA27</f>
        <v>3.189572847499848E-4</v>
      </c>
      <c r="E27" s="243">
        <f>C27/AB27</f>
        <v>9.7727583283494149E-7</v>
      </c>
      <c r="F27" s="240">
        <v>1</v>
      </c>
      <c r="G27" s="240"/>
      <c r="H27" s="240"/>
      <c r="I27" s="240"/>
      <c r="J27" s="430">
        <f t="shared" si="4"/>
        <v>1</v>
      </c>
      <c r="K27" s="299"/>
      <c r="L27" s="300">
        <v>1</v>
      </c>
      <c r="M27" s="240"/>
      <c r="N27" s="430">
        <f>SUM(K27:M27)</f>
        <v>1</v>
      </c>
      <c r="O27" s="677">
        <f>C27</f>
        <v>22277.754134744628</v>
      </c>
      <c r="P27" s="243">
        <f>O27/AA27</f>
        <v>3.189572847499848E-4</v>
      </c>
      <c r="Q27" s="243">
        <f>O27/AB27</f>
        <v>9.7727583283494149E-7</v>
      </c>
      <c r="R27" s="240">
        <v>1</v>
      </c>
      <c r="S27" s="240"/>
      <c r="T27" s="240"/>
      <c r="U27" s="240"/>
      <c r="V27" s="430">
        <f t="shared" si="11"/>
        <v>1</v>
      </c>
      <c r="W27" s="299"/>
      <c r="X27" s="300">
        <v>1</v>
      </c>
      <c r="Y27" s="240"/>
      <c r="Z27" s="430">
        <f>SUM(W27:Y27)</f>
        <v>1</v>
      </c>
      <c r="AA27" s="706">
        <f>A54*A45*GJ.per.mmbtu</f>
        <v>69845572.432080001</v>
      </c>
      <c r="AB27" s="707">
        <f>$AB$39</f>
        <v>22795769000.160328</v>
      </c>
    </row>
    <row r="28" spans="1:32" ht="15" customHeight="1" thickTop="1">
      <c r="A28" s="232"/>
      <c r="B28" s="232"/>
      <c r="C28" s="284"/>
      <c r="D28" s="284"/>
      <c r="E28" s="284"/>
      <c r="F28" s="240"/>
      <c r="G28" s="240"/>
      <c r="H28" s="240"/>
      <c r="I28" s="240"/>
      <c r="J28" s="425"/>
      <c r="K28" s="299"/>
      <c r="L28" s="300"/>
      <c r="M28" s="240"/>
      <c r="N28" s="425"/>
      <c r="O28" s="679"/>
      <c r="P28" s="284"/>
      <c r="Q28" s="284"/>
      <c r="R28" s="240"/>
      <c r="S28" s="240"/>
      <c r="T28" s="240"/>
      <c r="U28" s="240"/>
      <c r="V28" s="425"/>
      <c r="W28" s="299"/>
      <c r="X28" s="300"/>
      <c r="Y28" s="240"/>
      <c r="Z28" s="425"/>
      <c r="AA28" s="706"/>
      <c r="AB28" s="707"/>
    </row>
    <row r="29" spans="1:32" ht="15" customHeight="1" thickBot="1">
      <c r="A29" s="226" t="s">
        <v>67</v>
      </c>
      <c r="B29" s="232"/>
      <c r="C29" s="284"/>
      <c r="D29" s="284"/>
      <c r="E29" s="284"/>
      <c r="F29" s="240"/>
      <c r="G29" s="240"/>
      <c r="H29" s="240"/>
      <c r="I29" s="240"/>
      <c r="J29" s="425"/>
      <c r="K29" s="299"/>
      <c r="L29" s="300"/>
      <c r="M29" s="240"/>
      <c r="N29" s="425"/>
      <c r="O29" s="679"/>
      <c r="P29" s="284"/>
      <c r="Q29" s="284"/>
      <c r="R29" s="240"/>
      <c r="S29" s="240"/>
      <c r="T29" s="240"/>
      <c r="U29" s="240"/>
      <c r="V29" s="425"/>
      <c r="W29" s="299"/>
      <c r="X29" s="300"/>
      <c r="Y29" s="240"/>
      <c r="Z29" s="425"/>
      <c r="AA29" s="706"/>
      <c r="AB29" s="707"/>
    </row>
    <row r="30" spans="1:32" ht="15" customHeight="1" thickTop="1" thickBot="1">
      <c r="A30" s="232"/>
      <c r="B30" s="232" t="s">
        <v>873</v>
      </c>
      <c r="C30" s="382">
        <v>0</v>
      </c>
      <c r="D30" s="306"/>
      <c r="E30" s="306"/>
      <c r="F30" s="77"/>
      <c r="G30" s="77"/>
      <c r="H30" s="77"/>
      <c r="I30" s="77"/>
      <c r="J30" s="435"/>
      <c r="K30" s="506"/>
      <c r="L30" s="72"/>
      <c r="M30" s="77"/>
      <c r="N30" s="435"/>
      <c r="O30" s="677">
        <v>2914765.6999999997</v>
      </c>
      <c r="P30" s="243">
        <f>O30/AA30</f>
        <v>8.2181429551690812E-5</v>
      </c>
      <c r="Q30" s="243">
        <f>O30/AB30</f>
        <v>1.2786432868219972E-4</v>
      </c>
      <c r="R30" s="240">
        <v>1</v>
      </c>
      <c r="S30" s="240"/>
      <c r="T30" s="240"/>
      <c r="U30" s="240"/>
      <c r="V30" s="430">
        <f t="shared" si="11"/>
        <v>1</v>
      </c>
      <c r="W30" s="299">
        <v>0.4</v>
      </c>
      <c r="X30" s="300">
        <v>0.6</v>
      </c>
      <c r="Y30" s="240"/>
      <c r="Z30" s="430">
        <f>SUM(W30:Y30)</f>
        <v>1</v>
      </c>
      <c r="AA30" s="706">
        <f>A56*A45*GJ.per.mmbtu</f>
        <v>35467449470.037003</v>
      </c>
      <c r="AB30" s="707">
        <f>$AB$39</f>
        <v>22795769000.160328</v>
      </c>
    </row>
    <row r="31" spans="1:32" ht="15" customHeight="1" thickTop="1" thickBot="1">
      <c r="A31" s="232"/>
      <c r="B31" s="232" t="s">
        <v>406</v>
      </c>
      <c r="C31" s="386">
        <v>112549596.83352</v>
      </c>
      <c r="D31" s="387">
        <f>C31/AA31</f>
        <v>0.19544694442152655</v>
      </c>
      <c r="E31" s="387">
        <f>C31/AB31</f>
        <v>4.9373020420029881E-3</v>
      </c>
      <c r="F31" s="240">
        <v>1</v>
      </c>
      <c r="G31" s="240"/>
      <c r="H31" s="240"/>
      <c r="I31" s="240"/>
      <c r="J31" s="430">
        <f t="shared" si="4"/>
        <v>1</v>
      </c>
      <c r="K31" s="299">
        <v>0.2</v>
      </c>
      <c r="L31" s="300">
        <v>0.8</v>
      </c>
      <c r="M31" s="240"/>
      <c r="N31" s="430">
        <f>SUM(K31:M31)</f>
        <v>1</v>
      </c>
      <c r="O31" s="677">
        <f>C31</f>
        <v>112549596.83352</v>
      </c>
      <c r="P31" s="243">
        <f>O31/AA31</f>
        <v>0.19544694442152655</v>
      </c>
      <c r="Q31" s="243">
        <f>O31/AB31</f>
        <v>4.9373020420029881E-3</v>
      </c>
      <c r="R31" s="240">
        <v>1</v>
      </c>
      <c r="S31" s="240"/>
      <c r="T31" s="240"/>
      <c r="U31" s="240"/>
      <c r="V31" s="430">
        <f t="shared" si="11"/>
        <v>1</v>
      </c>
      <c r="W31" s="299">
        <v>0.2</v>
      </c>
      <c r="X31" s="300">
        <v>0.8</v>
      </c>
      <c r="Y31" s="240"/>
      <c r="Z31" s="430">
        <f>SUM(W31:Y31)</f>
        <v>1</v>
      </c>
      <c r="AA31" s="706">
        <f>A55*A45*GJ.per.mmbtu</f>
        <v>575857541.11755645</v>
      </c>
      <c r="AB31" s="707">
        <f>$AB$39</f>
        <v>22795769000.160328</v>
      </c>
    </row>
    <row r="32" spans="1:32" ht="15" customHeight="1" thickTop="1" thickBot="1">
      <c r="A32" s="232"/>
      <c r="B32" s="232" t="s">
        <v>512</v>
      </c>
      <c r="C32" s="243">
        <f>D32*AA32</f>
        <v>7572.6468449624335</v>
      </c>
      <c r="D32" s="377">
        <v>1.0841985513578989E-4</v>
      </c>
      <c r="E32" s="377">
        <f>C32/AB32</f>
        <v>3.3219527908486762E-7</v>
      </c>
      <c r="F32" s="240"/>
      <c r="G32" s="240"/>
      <c r="H32" s="240">
        <v>1</v>
      </c>
      <c r="I32" s="240"/>
      <c r="J32" s="430">
        <f t="shared" si="4"/>
        <v>1</v>
      </c>
      <c r="K32" s="299"/>
      <c r="L32" s="240">
        <v>1</v>
      </c>
      <c r="M32" s="240"/>
      <c r="N32" s="430">
        <f>SUM(K32:M32)</f>
        <v>1</v>
      </c>
      <c r="O32" s="677">
        <f>C32</f>
        <v>7572.6468449624335</v>
      </c>
      <c r="P32" s="243">
        <f>D32</f>
        <v>1.0841985513578989E-4</v>
      </c>
      <c r="Q32" s="243">
        <f>O32/AB32</f>
        <v>3.3219527908486762E-7</v>
      </c>
      <c r="R32" s="240"/>
      <c r="S32" s="240"/>
      <c r="T32" s="240">
        <v>1</v>
      </c>
      <c r="U32" s="240"/>
      <c r="V32" s="430">
        <f t="shared" si="11"/>
        <v>1</v>
      </c>
      <c r="W32" s="299"/>
      <c r="X32" s="240">
        <v>1</v>
      </c>
      <c r="Y32" s="240"/>
      <c r="Z32" s="430">
        <f>SUM(W32:Y32)</f>
        <v>1</v>
      </c>
      <c r="AA32" s="706">
        <f>A54*A45*GJ.per.mmbtu</f>
        <v>69845572.432080001</v>
      </c>
      <c r="AB32" s="707">
        <f>$AB$39</f>
        <v>22795769000.160328</v>
      </c>
    </row>
    <row r="33" spans="1:28" ht="15" customHeight="1" thickTop="1" thickBot="1">
      <c r="A33" s="232"/>
      <c r="B33" s="232" t="s">
        <v>513</v>
      </c>
      <c r="C33" s="382">
        <f>conv_ng_frac*'Natural Gas'!C37</f>
        <v>0</v>
      </c>
      <c r="D33" s="306"/>
      <c r="E33" s="306"/>
      <c r="F33" s="240"/>
      <c r="G33" s="240"/>
      <c r="H33" s="240"/>
      <c r="I33" s="240"/>
      <c r="J33" s="434"/>
      <c r="K33" s="299"/>
      <c r="L33" s="300"/>
      <c r="M33" s="300"/>
      <c r="N33" s="434"/>
      <c r="O33" s="677">
        <f>P33*AA33</f>
        <v>2076.6841189200049</v>
      </c>
      <c r="P33" s="243">
        <v>1.0841985513578989E-4</v>
      </c>
      <c r="Q33" s="243">
        <f>O33/AB33</f>
        <v>9.1099542152115995E-8</v>
      </c>
      <c r="R33" s="240"/>
      <c r="S33" s="240"/>
      <c r="T33" s="252">
        <v>1</v>
      </c>
      <c r="U33" s="252"/>
      <c r="V33" s="430">
        <f t="shared" si="11"/>
        <v>1</v>
      </c>
      <c r="W33" s="299"/>
      <c r="X33" s="252">
        <v>1</v>
      </c>
      <c r="Y33" s="240"/>
      <c r="Z33" s="430">
        <f>SUM(W33:Y33)</f>
        <v>1</v>
      </c>
      <c r="AA33" s="706">
        <f>A52*A45*GJ.per.mmbtu</f>
        <v>19154094.204600003</v>
      </c>
      <c r="AB33" s="707">
        <f>$AB$39</f>
        <v>22795769000.160328</v>
      </c>
    </row>
    <row r="34" spans="1:28" ht="15" customHeight="1" thickTop="1">
      <c r="A34" s="232"/>
      <c r="B34" s="232"/>
      <c r="C34" s="284"/>
      <c r="D34" s="284"/>
      <c r="E34" s="284"/>
      <c r="F34" s="240"/>
      <c r="G34" s="240"/>
      <c r="H34" s="240"/>
      <c r="I34" s="240"/>
      <c r="J34" s="425"/>
      <c r="K34" s="299"/>
      <c r="L34" s="240"/>
      <c r="M34" s="240"/>
      <c r="N34" s="425"/>
      <c r="O34" s="679"/>
      <c r="P34" s="284"/>
      <c r="Q34" s="284"/>
      <c r="R34" s="240"/>
      <c r="S34" s="240"/>
      <c r="T34" s="240"/>
      <c r="U34" s="240"/>
      <c r="V34" s="240"/>
      <c r="W34" s="299"/>
      <c r="X34" s="240"/>
      <c r="Y34" s="240"/>
      <c r="Z34" s="240"/>
      <c r="AA34" s="706"/>
      <c r="AB34" s="707"/>
    </row>
    <row r="35" spans="1:28" ht="15" customHeight="1" thickBot="1">
      <c r="A35" s="222" t="s">
        <v>68</v>
      </c>
      <c r="B35" s="232"/>
      <c r="C35" s="284"/>
      <c r="D35" s="284"/>
      <c r="E35" s="284"/>
      <c r="F35" s="240"/>
      <c r="G35" s="240"/>
      <c r="H35" s="240"/>
      <c r="I35" s="240"/>
      <c r="J35" s="425"/>
      <c r="K35" s="299"/>
      <c r="L35" s="240"/>
      <c r="M35" s="240"/>
      <c r="N35" s="425"/>
      <c r="O35" s="679"/>
      <c r="P35" s="284"/>
      <c r="Q35" s="284"/>
      <c r="R35" s="240"/>
      <c r="S35" s="240"/>
      <c r="T35" s="240"/>
      <c r="U35" s="240"/>
      <c r="V35" s="425"/>
      <c r="W35" s="299"/>
      <c r="X35" s="240"/>
      <c r="Y35" s="240"/>
      <c r="Z35" s="425"/>
      <c r="AA35" s="706"/>
      <c r="AB35" s="707"/>
    </row>
    <row r="36" spans="1:28" ht="15" customHeight="1" thickTop="1" thickBot="1">
      <c r="A36" s="232"/>
      <c r="B36" s="232" t="s">
        <v>487</v>
      </c>
      <c r="C36" s="243">
        <f>SUM('Sankey conversion input'!$E$77:$E$88)</f>
        <v>945979087.69662356</v>
      </c>
      <c r="D36" s="243">
        <f>C36/AA36</f>
        <v>9.9707812002127319E-2</v>
      </c>
      <c r="E36" s="243">
        <f>C36/AB36</f>
        <v>4.149801165689871E-2</v>
      </c>
      <c r="F36" s="240">
        <f>SUM('Sankey conversion input'!$E$77,'Sankey conversion input'!$E$81,'Sankey conversion input'!$E$85)/$C$36</f>
        <v>0.90687326983458383</v>
      </c>
      <c r="G36" s="240">
        <f>SUM('Sankey conversion input'!$E$78,'Sankey conversion input'!$E$82,'Sankey conversion input'!$E$86)/$C$36</f>
        <v>4.8364386982140371E-2</v>
      </c>
      <c r="H36" s="240">
        <f>SUM('Sankey conversion input'!$E$79,'Sankey conversion input'!$E$83,'Sankey conversion input'!$E$87)/$C$36</f>
        <v>4.4762343183275773E-2</v>
      </c>
      <c r="I36" s="240">
        <f>SUM('Sankey conversion input'!$E$80,'Sankey conversion input'!$E$84,'Sankey conversion input'!$E$88)/$C$36</f>
        <v>0</v>
      </c>
      <c r="J36" s="430">
        <f t="shared" si="4"/>
        <v>1</v>
      </c>
      <c r="K36" s="299">
        <f>SUM('Sankey conversion input'!$E$81:$E$84)/$C$36</f>
        <v>0.28336653029469272</v>
      </c>
      <c r="L36" s="240">
        <f>SUM('Sankey conversion input'!$E$77:$E$80)/$C$36</f>
        <v>0.59113129219625604</v>
      </c>
      <c r="M36" s="240">
        <f>SUM('Sankey conversion input'!$E$85:$E$88)/$C$36</f>
        <v>0.12550217750905127</v>
      </c>
      <c r="N36" s="430">
        <f>SUM(K36:M36)</f>
        <v>1</v>
      </c>
      <c r="O36" s="677">
        <f>SUM('Sankey conversion input'!$D$77:$D$88)</f>
        <v>17827138964.348839</v>
      </c>
      <c r="P36" s="243">
        <f>O36/AA36</f>
        <v>1.8790109036354727</v>
      </c>
      <c r="Q36" s="243">
        <f>O36/AB36</f>
        <v>0.78203718261153887</v>
      </c>
      <c r="R36" s="240">
        <f>SUM('Sankey conversion input'!$D$77,'Sankey conversion input'!$D$81,'Sankey conversion input'!$D$85)/$O$36</f>
        <v>0.49554564142483565</v>
      </c>
      <c r="S36" s="240">
        <f>SUM('Sankey conversion input'!$D$78,'Sankey conversion input'!$D$82,'Sankey conversion input'!$D$86)/$O$36</f>
        <v>0.23217807735519211</v>
      </c>
      <c r="T36" s="240">
        <f>SUM('Sankey conversion input'!$D$79,'Sankey conversion input'!$D$83,'Sankey conversion input'!$D$87)/$O$36</f>
        <v>0.27227628121997227</v>
      </c>
      <c r="U36" s="240">
        <f>SUM('Sankey conversion input'!$D$80,'Sankey conversion input'!$D$84,'Sankey conversion input'!$D$88)/$O$36</f>
        <v>0</v>
      </c>
      <c r="V36" s="430">
        <f>SUM(R36:U36)</f>
        <v>1</v>
      </c>
      <c r="W36" s="299">
        <f>SUM('Sankey conversion input'!$D$81:$D$84)/$O$36</f>
        <v>1.907799125033828E-2</v>
      </c>
      <c r="X36" s="240">
        <f>SUM('Sankey conversion input'!$D$77:$D$80)/$O$36</f>
        <v>0.96409172687585432</v>
      </c>
      <c r="Y36" s="240">
        <f>SUM('Sankey conversion input'!$D$85:$D$88)/$O$36</f>
        <v>1.6830281873807425E-2</v>
      </c>
      <c r="Z36" s="427">
        <f>SUM(W36:Y36)</f>
        <v>1</v>
      </c>
      <c r="AA36" s="706">
        <f>'Energy data by fuel cycle'!$E$62</f>
        <v>9487512249.0546741</v>
      </c>
      <c r="AB36" s="713">
        <f>$AB$39</f>
        <v>22795769000.160328</v>
      </c>
    </row>
    <row r="37" spans="1:28" ht="15" customHeight="1" thickTop="1">
      <c r="A37" s="232"/>
      <c r="B37" s="232"/>
      <c r="C37" s="232"/>
      <c r="D37" s="232"/>
      <c r="E37" s="232"/>
      <c r="F37" s="232"/>
      <c r="G37" s="232"/>
      <c r="H37" s="232"/>
      <c r="I37" s="232"/>
      <c r="J37" s="431"/>
      <c r="K37" s="301"/>
      <c r="L37" s="232"/>
      <c r="M37" s="232"/>
      <c r="N37" s="431"/>
      <c r="O37" s="680"/>
      <c r="P37" s="232"/>
      <c r="Q37" s="232"/>
      <c r="R37" s="232"/>
      <c r="S37" s="232"/>
      <c r="T37" s="232"/>
      <c r="U37" s="232"/>
      <c r="V37" s="431"/>
      <c r="W37" s="301"/>
      <c r="X37" s="232"/>
      <c r="Y37" s="232"/>
      <c r="Z37" s="431"/>
      <c r="AA37" s="301"/>
      <c r="AB37" s="708"/>
    </row>
    <row r="38" spans="1:28" ht="15" customHeight="1" thickBot="1">
      <c r="A38" s="257" t="s">
        <v>413</v>
      </c>
      <c r="B38" s="232"/>
      <c r="C38" s="232"/>
      <c r="D38" s="232"/>
      <c r="E38" s="232"/>
      <c r="F38" s="232"/>
      <c r="G38" s="232"/>
      <c r="H38" s="232"/>
      <c r="I38" s="232"/>
      <c r="J38" s="431"/>
      <c r="K38" s="301"/>
      <c r="L38" s="232"/>
      <c r="M38" s="232"/>
      <c r="N38" s="431"/>
      <c r="O38" s="680"/>
      <c r="P38" s="232"/>
      <c r="Q38" s="232"/>
      <c r="R38" s="232"/>
      <c r="S38" s="232"/>
      <c r="T38" s="232"/>
      <c r="U38" s="232"/>
      <c r="V38" s="431"/>
      <c r="W38" s="301"/>
      <c r="X38" s="232"/>
      <c r="Y38" s="232"/>
      <c r="Z38" s="431"/>
      <c r="AA38" s="301"/>
      <c r="AB38" s="708"/>
    </row>
    <row r="39" spans="1:28" ht="15" customHeight="1" thickTop="1" thickBot="1">
      <c r="A39" s="232"/>
      <c r="B39" s="232" t="s">
        <v>413</v>
      </c>
      <c r="C39" s="243">
        <f>D39*AA39</f>
        <v>-1079059705.3329904</v>
      </c>
      <c r="D39" s="243">
        <v>-3.7999999999999999E-2</v>
      </c>
      <c r="E39" s="243">
        <f>C39/AB39</f>
        <v>-4.7335964201313023E-2</v>
      </c>
      <c r="F39" s="240">
        <v>1</v>
      </c>
      <c r="G39" s="240"/>
      <c r="H39" s="240"/>
      <c r="I39" s="240"/>
      <c r="J39" s="430">
        <f t="shared" si="4"/>
        <v>1</v>
      </c>
      <c r="K39" s="299"/>
      <c r="L39" s="240">
        <v>1</v>
      </c>
      <c r="M39" s="240"/>
      <c r="N39" s="430">
        <f>SUM(K39:M39)</f>
        <v>1</v>
      </c>
      <c r="O39" s="677">
        <f>P39*AA39</f>
        <v>-1079059705.3329904</v>
      </c>
      <c r="P39" s="243">
        <f>D39</f>
        <v>-3.7999999999999999E-2</v>
      </c>
      <c r="Q39" s="243">
        <f>O39/AB39</f>
        <v>-4.7335964201313023E-2</v>
      </c>
      <c r="R39" s="240">
        <v>1</v>
      </c>
      <c r="S39" s="240"/>
      <c r="T39" s="240"/>
      <c r="U39" s="240"/>
      <c r="V39" s="430">
        <f t="shared" si="11"/>
        <v>1</v>
      </c>
      <c r="W39" s="299"/>
      <c r="X39" s="240">
        <v>1</v>
      </c>
      <c r="Y39" s="240"/>
      <c r="Z39" s="430">
        <f>SUM(W39:Y39)</f>
        <v>1</v>
      </c>
      <c r="AA39" s="709">
        <f>SUM('Energy data by fuel cycle'!$E$62,'Energy data by fuel cycle'!$F$63,'Energy data by fuel cycle'!$F$64)</f>
        <v>28396308035.078697</v>
      </c>
      <c r="AB39" s="710">
        <f>SUM('Energy data by fuel cycle'!$G$12:$G$13)</f>
        <v>22795769000.160328</v>
      </c>
    </row>
    <row r="40" spans="1:28" ht="15" customHeight="1" thickTop="1">
      <c r="A40" s="232"/>
      <c r="B40" s="232"/>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row>
    <row r="41" spans="1:28" ht="15" customHeight="1">
      <c r="A41" s="232"/>
      <c r="B41" s="232"/>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row>
    <row r="42" spans="1:28" ht="15" customHeight="1">
      <c r="A42" s="232"/>
      <c r="B42" s="232"/>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84"/>
      <c r="AB42" s="232"/>
    </row>
    <row r="43" spans="1:28" ht="15" customHeight="1">
      <c r="A43" s="251" t="s">
        <v>414</v>
      </c>
      <c r="B43" s="232"/>
      <c r="C43" s="232"/>
      <c r="D43" s="232"/>
      <c r="E43" s="232"/>
      <c r="F43" s="253"/>
      <c r="G43" s="232"/>
      <c r="H43" s="232"/>
      <c r="I43" s="232"/>
      <c r="J43" s="232"/>
      <c r="K43" s="232"/>
      <c r="L43" s="232"/>
      <c r="M43" s="232"/>
      <c r="N43" s="232"/>
      <c r="O43" s="232"/>
      <c r="P43" s="232"/>
      <c r="Q43" s="232"/>
      <c r="R43" s="232"/>
      <c r="S43" s="232"/>
      <c r="T43" s="232"/>
      <c r="U43" s="232"/>
      <c r="V43" s="232"/>
      <c r="W43" s="232"/>
      <c r="X43" s="232"/>
      <c r="Y43" s="232"/>
      <c r="Z43" s="232"/>
      <c r="AA43" s="232"/>
      <c r="AB43" s="232"/>
    </row>
    <row r="44" spans="1:28" ht="15" customHeight="1">
      <c r="A44" s="232" t="s">
        <v>415</v>
      </c>
      <c r="B44" s="232"/>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row>
    <row r="45" spans="1:28" ht="15" customHeight="1">
      <c r="A45" s="232">
        <v>1116</v>
      </c>
      <c r="B45" s="232" t="s">
        <v>174</v>
      </c>
      <c r="C45" s="232" t="s">
        <v>514</v>
      </c>
      <c r="D45" s="214" t="s">
        <v>515</v>
      </c>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row>
    <row r="46" spans="1:28" ht="15" customHeight="1">
      <c r="A46" s="232">
        <v>1340</v>
      </c>
      <c r="B46" s="232" t="s">
        <v>516</v>
      </c>
      <c r="C46" s="232" t="s">
        <v>517</v>
      </c>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row>
    <row r="47" spans="1:28" ht="15" customHeight="1">
      <c r="A47" s="232">
        <v>1200</v>
      </c>
      <c r="B47" s="232" t="s">
        <v>516</v>
      </c>
      <c r="C47" s="232" t="s">
        <v>518</v>
      </c>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row>
    <row r="48" spans="1:28" ht="15" customHeight="1">
      <c r="A48" s="232">
        <v>140</v>
      </c>
      <c r="B48" s="232" t="s">
        <v>516</v>
      </c>
      <c r="C48" s="232" t="s">
        <v>519</v>
      </c>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row>
    <row r="49" spans="1:28" ht="15" customHeight="1">
      <c r="A49" s="232">
        <v>0.9</v>
      </c>
      <c r="B49" s="232" t="s">
        <v>520</v>
      </c>
      <c r="C49" s="232" t="s">
        <v>521</v>
      </c>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row>
    <row r="50" spans="1:28" ht="15" customHeight="1">
      <c r="A50" s="232">
        <v>550</v>
      </c>
      <c r="B50" s="232" t="s">
        <v>522</v>
      </c>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row>
    <row r="51" spans="1:28" ht="15" customHeight="1">
      <c r="A51" s="232" t="s">
        <v>419</v>
      </c>
      <c r="B51" s="255"/>
      <c r="C51" s="232"/>
      <c r="D51" s="214"/>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row>
    <row r="52" spans="1:28" ht="15" customHeight="1">
      <c r="A52" s="284">
        <v>16255</v>
      </c>
      <c r="B52" s="232" t="s">
        <v>299</v>
      </c>
      <c r="C52" s="232" t="s">
        <v>523</v>
      </c>
      <c r="D52" s="232" t="s">
        <v>524</v>
      </c>
      <c r="E52" s="232" t="s">
        <v>525</v>
      </c>
      <c r="F52" s="232"/>
      <c r="G52" s="232"/>
      <c r="H52" s="232"/>
      <c r="I52" s="232"/>
      <c r="J52" s="232"/>
      <c r="K52" s="232"/>
      <c r="L52" s="232"/>
      <c r="M52" s="232"/>
      <c r="N52" s="232"/>
      <c r="O52" s="232"/>
      <c r="P52" s="232"/>
      <c r="Q52" s="232"/>
      <c r="R52" s="232"/>
      <c r="S52" s="232"/>
      <c r="T52" s="232"/>
      <c r="U52" s="232"/>
      <c r="V52" s="232"/>
      <c r="W52" s="232"/>
      <c r="X52" s="232"/>
      <c r="Y52" s="232"/>
      <c r="Z52" s="232"/>
      <c r="AA52" s="232"/>
      <c r="AB52" s="232"/>
    </row>
    <row r="53" spans="1:28" ht="15" customHeight="1">
      <c r="A53" s="336">
        <v>2664</v>
      </c>
      <c r="B53" s="337" t="s">
        <v>526</v>
      </c>
      <c r="C53" s="337" t="s">
        <v>523</v>
      </c>
      <c r="D53" s="337" t="s">
        <v>524</v>
      </c>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row>
    <row r="54" spans="1:28" ht="15" customHeight="1">
      <c r="A54" s="284">
        <f>8536+3824+2701+3006+2806+9800+6305+1567+5745+6973+0+8011</f>
        <v>59274</v>
      </c>
      <c r="B54" s="232" t="s">
        <v>299</v>
      </c>
      <c r="C54" s="232" t="s">
        <v>527</v>
      </c>
      <c r="D54" s="232" t="s">
        <v>528</v>
      </c>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row>
    <row r="55" spans="1:28" ht="15" customHeight="1">
      <c r="A55" s="284">
        <v>488697.83299999998</v>
      </c>
      <c r="B55" s="232" t="s">
        <v>319</v>
      </c>
      <c r="C55" s="232" t="s">
        <v>529</v>
      </c>
      <c r="D55" s="232" t="s">
        <v>318</v>
      </c>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row>
    <row r="56" spans="1:28" ht="15" customHeight="1">
      <c r="A56" s="284">
        <f>SUM('Energy data by fuel cycle'!$B$90)</f>
        <v>30099225</v>
      </c>
      <c r="B56" s="232" t="s">
        <v>299</v>
      </c>
      <c r="C56" s="232" t="s">
        <v>530</v>
      </c>
      <c r="D56" s="232" t="s">
        <v>531</v>
      </c>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row>
    <row r="57" spans="1:28" ht="15" customHeight="1">
      <c r="A57" s="284">
        <v>48440</v>
      </c>
      <c r="B57" s="232" t="s">
        <v>532</v>
      </c>
      <c r="C57" s="232" t="s">
        <v>533</v>
      </c>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row>
    <row r="58" spans="1:28" ht="15" customHeight="1">
      <c r="A58" s="284">
        <v>770000000</v>
      </c>
      <c r="B58" s="232" t="s">
        <v>534</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row>
    <row r="59" spans="1:28" ht="15" customHeight="1"/>
    <row r="60" spans="1:28" ht="15" customHeight="1"/>
    <row r="61" spans="1:28" ht="15" customHeight="1"/>
    <row r="62" spans="1:28" ht="15" customHeight="1"/>
    <row r="63" spans="1:28" ht="15" customHeight="1"/>
    <row r="64" spans="1:28"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hyperlinks>
    <hyperlink ref="D45" r:id="rId1" location="/?f=A&amp;start=200001)" xr:uid="{00000000-0004-0000-1000-000000000000}"/>
  </hyperlinks>
  <pageMargins left="0.75" right="0.75" top="1" bottom="1" header="0.5" footer="0.5"/>
  <pageSetup paperSize="3" scale="62" orientation="landscape" horizontalDpi="0" verticalDpi="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82723"/>
    <pageSetUpPr fitToPage="1"/>
  </sheetPr>
  <dimension ref="A1:AF65"/>
  <sheetViews>
    <sheetView workbookViewId="0"/>
  </sheetViews>
  <sheetFormatPr baseColWidth="10" defaultRowHeight="13"/>
  <cols>
    <col min="1" max="1" width="15.83203125" style="16" customWidth="1"/>
    <col min="2" max="2" width="30.83203125" style="16" customWidth="1"/>
    <col min="3" max="3" width="10.83203125" style="16" customWidth="1"/>
    <col min="4"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1" width="11.6640625" style="16" hidden="1" customWidth="1"/>
    <col min="32" max="32" width="12.6640625" style="16" hidden="1" customWidth="1"/>
    <col min="33" max="16384" width="10.83203125" style="16"/>
  </cols>
  <sheetData>
    <row r="1" spans="1:32" ht="30">
      <c r="A1" s="329" t="s">
        <v>759</v>
      </c>
      <c r="B1" s="330"/>
      <c r="C1" s="487"/>
      <c r="D1" s="487"/>
      <c r="E1" s="331"/>
      <c r="F1" s="330"/>
      <c r="G1" s="330"/>
      <c r="H1" s="330"/>
      <c r="I1" s="330"/>
      <c r="J1" s="402"/>
      <c r="K1" s="330"/>
      <c r="L1" s="330"/>
      <c r="M1" s="330"/>
      <c r="N1" s="402"/>
      <c r="O1" s="330"/>
      <c r="P1" s="330"/>
      <c r="Q1" s="487"/>
      <c r="R1" s="487"/>
      <c r="S1" s="330"/>
      <c r="T1" s="330"/>
      <c r="U1" s="330"/>
      <c r="V1" s="402"/>
      <c r="W1" s="330"/>
      <c r="X1" s="330"/>
      <c r="Y1" s="330"/>
      <c r="Z1" s="402"/>
      <c r="AA1" s="330"/>
      <c r="AB1" s="330"/>
    </row>
    <row r="2" spans="1:32" ht="30">
      <c r="A2" s="329" t="s">
        <v>878</v>
      </c>
      <c r="B2" s="330"/>
      <c r="C2" s="330"/>
      <c r="D2" s="330"/>
      <c r="E2" s="331"/>
      <c r="F2" s="330"/>
      <c r="G2" s="330"/>
      <c r="H2" s="330"/>
      <c r="I2" s="330"/>
      <c r="J2" s="402"/>
      <c r="K2" s="330"/>
      <c r="L2" s="330"/>
      <c r="M2" s="330"/>
      <c r="N2" s="402"/>
      <c r="O2" s="330"/>
      <c r="P2" s="330"/>
      <c r="Q2" s="330"/>
      <c r="R2" s="330"/>
      <c r="S2" s="330"/>
      <c r="T2" s="330"/>
      <c r="U2" s="330"/>
      <c r="V2" s="402"/>
      <c r="W2" s="330"/>
      <c r="X2" s="330"/>
      <c r="Y2" s="330"/>
      <c r="Z2" s="402"/>
      <c r="AA2" s="330"/>
      <c r="AB2" s="330"/>
    </row>
    <row r="3" spans="1:32" ht="30">
      <c r="A3" s="329" t="s">
        <v>879</v>
      </c>
      <c r="B3" s="330"/>
      <c r="C3" s="330"/>
      <c r="D3" s="330"/>
      <c r="E3" s="331"/>
      <c r="F3" s="330"/>
      <c r="G3" s="330"/>
      <c r="H3" s="330"/>
      <c r="I3" s="330"/>
      <c r="J3" s="402"/>
      <c r="K3" s="330"/>
      <c r="L3" s="330"/>
      <c r="M3" s="330"/>
      <c r="N3" s="402"/>
      <c r="O3" s="330"/>
      <c r="P3" s="330"/>
      <c r="Q3" s="330"/>
      <c r="R3" s="330"/>
      <c r="S3" s="330"/>
      <c r="T3" s="330"/>
      <c r="U3" s="330"/>
      <c r="V3" s="402"/>
      <c r="W3" s="330"/>
      <c r="X3" s="330"/>
      <c r="Y3" s="330"/>
      <c r="Z3" s="402"/>
      <c r="AA3" s="330"/>
      <c r="AB3" s="330"/>
    </row>
    <row r="4" spans="1:32" ht="30">
      <c r="A4" s="329"/>
      <c r="B4" s="330"/>
      <c r="C4" s="330"/>
      <c r="D4" s="330"/>
      <c r="E4" s="331"/>
      <c r="F4" s="330"/>
      <c r="G4" s="330"/>
      <c r="H4" s="330"/>
      <c r="I4" s="330"/>
      <c r="J4" s="402"/>
      <c r="K4" s="330"/>
      <c r="L4" s="330"/>
      <c r="M4" s="330"/>
      <c r="N4" s="402"/>
      <c r="O4" s="330"/>
      <c r="P4" s="330"/>
      <c r="Q4" s="330"/>
      <c r="R4" s="330"/>
      <c r="S4" s="330"/>
      <c r="T4" s="330"/>
      <c r="U4" s="330"/>
      <c r="V4" s="402"/>
      <c r="W4" s="330"/>
      <c r="X4" s="330"/>
      <c r="Y4" s="330"/>
      <c r="Z4" s="402"/>
      <c r="AA4" s="330"/>
      <c r="AB4" s="330"/>
    </row>
    <row r="5" spans="1:32" ht="30">
      <c r="A5" s="329"/>
      <c r="B5" s="330"/>
      <c r="C5" s="330"/>
      <c r="D5" s="330"/>
      <c r="E5" s="331"/>
      <c r="F5" s="330"/>
      <c r="G5" s="330"/>
      <c r="H5" s="330"/>
      <c r="I5" s="330"/>
      <c r="J5" s="402"/>
      <c r="K5" s="330"/>
      <c r="L5" s="330"/>
      <c r="M5" s="330"/>
      <c r="N5" s="402"/>
      <c r="O5" s="330"/>
      <c r="P5" s="330"/>
      <c r="Q5" s="330"/>
      <c r="R5" s="330"/>
      <c r="S5" s="330"/>
      <c r="T5" s="330"/>
      <c r="U5" s="330"/>
      <c r="V5" s="402"/>
      <c r="W5" s="330"/>
      <c r="X5" s="330"/>
      <c r="Y5" s="330"/>
      <c r="Z5" s="402"/>
      <c r="AA5" s="330"/>
      <c r="AB5" s="330"/>
    </row>
    <row r="6" spans="1:32" ht="30">
      <c r="A6" s="329"/>
      <c r="B6" s="330"/>
      <c r="C6" s="330"/>
      <c r="D6" s="330"/>
      <c r="E6" s="331"/>
      <c r="F6" s="330"/>
      <c r="G6" s="330"/>
      <c r="H6" s="330"/>
      <c r="I6" s="330"/>
      <c r="J6" s="402"/>
      <c r="K6" s="330"/>
      <c r="L6" s="330"/>
      <c r="M6" s="330"/>
      <c r="N6" s="402"/>
      <c r="O6" s="330"/>
      <c r="P6" s="330"/>
      <c r="Q6" s="330"/>
      <c r="R6" s="330"/>
      <c r="S6" s="330"/>
      <c r="T6" s="330"/>
      <c r="U6" s="330"/>
      <c r="V6" s="402"/>
      <c r="W6" s="330"/>
      <c r="X6" s="330"/>
      <c r="Y6" s="330"/>
      <c r="Z6" s="402"/>
      <c r="AA6" s="330"/>
      <c r="AB6" s="330"/>
    </row>
    <row r="7" spans="1:32" ht="30">
      <c r="A7" s="329"/>
      <c r="B7" s="330"/>
      <c r="C7" s="330"/>
      <c r="D7" s="330"/>
      <c r="E7" s="331"/>
      <c r="F7" s="330"/>
      <c r="G7" s="330"/>
      <c r="H7" s="330"/>
      <c r="I7" s="330"/>
      <c r="J7" s="402"/>
      <c r="K7" s="330"/>
      <c r="L7" s="330"/>
      <c r="M7" s="330"/>
      <c r="N7" s="402"/>
      <c r="O7" s="330"/>
      <c r="P7" s="330"/>
      <c r="Q7" s="330"/>
      <c r="R7" s="330"/>
      <c r="S7" s="330"/>
      <c r="T7" s="330"/>
      <c r="U7" s="330"/>
      <c r="V7" s="402"/>
      <c r="W7" s="330"/>
      <c r="X7" s="330"/>
      <c r="Y7" s="330"/>
      <c r="Z7" s="402"/>
      <c r="AA7" s="330"/>
      <c r="AB7" s="330"/>
    </row>
    <row r="8" spans="1:32" ht="30">
      <c r="A8" s="329"/>
      <c r="B8" s="330"/>
      <c r="C8" s="330"/>
      <c r="D8" s="330"/>
      <c r="E8" s="331"/>
      <c r="F8" s="330"/>
      <c r="G8" s="330"/>
      <c r="H8" s="330"/>
      <c r="I8" s="330"/>
      <c r="J8" s="402"/>
      <c r="K8" s="330"/>
      <c r="L8" s="330"/>
      <c r="M8" s="330"/>
      <c r="N8" s="402"/>
      <c r="O8" s="330"/>
      <c r="P8" s="330"/>
      <c r="Q8" s="330"/>
      <c r="R8" s="330"/>
      <c r="S8" s="330"/>
      <c r="T8" s="330"/>
      <c r="U8" s="330"/>
      <c r="V8" s="402"/>
      <c r="W8" s="330"/>
      <c r="X8" s="330"/>
      <c r="Y8" s="330"/>
      <c r="Z8" s="402"/>
      <c r="AA8" s="330"/>
      <c r="AB8" s="330"/>
    </row>
    <row r="9" spans="1:32" ht="31" thickBot="1">
      <c r="A9" s="329"/>
      <c r="B9" s="330"/>
      <c r="C9" s="330"/>
      <c r="D9" s="330"/>
      <c r="E9" s="331"/>
      <c r="F9" s="330"/>
      <c r="G9" s="330"/>
      <c r="H9" s="330"/>
      <c r="I9" s="330"/>
      <c r="J9" s="402"/>
      <c r="K9" s="330"/>
      <c r="L9" s="330"/>
      <c r="M9" s="330"/>
      <c r="N9" s="402"/>
      <c r="O9" s="330"/>
      <c r="P9" s="330"/>
      <c r="Q9" s="330"/>
      <c r="R9" s="330"/>
      <c r="S9" s="330"/>
      <c r="T9" s="330"/>
      <c r="U9" s="330"/>
      <c r="V9" s="402"/>
      <c r="W9" s="330"/>
      <c r="X9" s="330"/>
      <c r="Y9" s="330"/>
      <c r="Z9" s="402"/>
      <c r="AA9" s="330"/>
      <c r="AB9" s="330"/>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352284831.2012406</v>
      </c>
      <c r="AF11" s="18">
        <f>X13*O13</f>
        <v>8897214446.1569309</v>
      </c>
    </row>
    <row r="12" spans="1:32" ht="15" customHeight="1" thickBot="1">
      <c r="A12" s="268"/>
      <c r="B12" s="268" t="s">
        <v>48</v>
      </c>
      <c r="C12" s="269">
        <f>SUM(C15:C35)</f>
        <v>142140149.14990306</v>
      </c>
      <c r="D12" s="269"/>
      <c r="E12" s="269">
        <f>SUM(E15:E35)</f>
        <v>1.2145368181034351E-2</v>
      </c>
      <c r="F12" s="270"/>
      <c r="G12" s="270"/>
      <c r="H12" s="270"/>
      <c r="I12" s="270"/>
      <c r="J12" s="270"/>
      <c r="K12" s="501"/>
      <c r="L12" s="270"/>
      <c r="M12" s="270"/>
      <c r="N12" s="270"/>
      <c r="O12" s="276">
        <f>SUM(O15:O35)</f>
        <v>8822628749.0614891</v>
      </c>
      <c r="P12" s="268"/>
      <c r="Q12" s="269">
        <f>SUM(Q15:Q35)</f>
        <v>0.75386212215750537</v>
      </c>
      <c r="R12" s="270"/>
      <c r="S12" s="270"/>
      <c r="T12" s="270"/>
      <c r="U12" s="270"/>
      <c r="V12" s="270"/>
      <c r="W12" s="501"/>
      <c r="X12" s="270"/>
      <c r="Y12" s="270"/>
      <c r="Z12" s="270"/>
      <c r="AA12" s="235"/>
      <c r="AB12" s="236"/>
      <c r="AD12" s="16" t="s">
        <v>887</v>
      </c>
      <c r="AE12" s="18">
        <f>K13*C13</f>
        <v>281868479.36707699</v>
      </c>
      <c r="AF12" s="18">
        <f>W13*O13</f>
        <v>325361478.34113967</v>
      </c>
    </row>
    <row r="13" spans="1:32" ht="15" customHeight="1" thickTop="1" thickBot="1">
      <c r="A13" s="271"/>
      <c r="B13" s="271" t="s">
        <v>870</v>
      </c>
      <c r="C13" s="272">
        <f>SUM(C15:C32)</f>
        <v>696124261.56534839</v>
      </c>
      <c r="D13" s="272"/>
      <c r="E13" s="272">
        <f>SUM(E15:E32)</f>
        <v>5.9481332382347367E-2</v>
      </c>
      <c r="F13" s="282">
        <f>SUMPRODUCT(F15:F32,$C$15:$C$32)/SUM($C$15:$C$32)</f>
        <v>0.76749633805166584</v>
      </c>
      <c r="G13" s="282">
        <f t="shared" ref="G13:M13" si="0">SUMPRODUCT(G15:G32,$C$15:$C$32)/SUM($C$15:$C$32)</f>
        <v>3.374211394362206E-2</v>
      </c>
      <c r="H13" s="282">
        <f t="shared" si="0"/>
        <v>3.1234680866700584E-2</v>
      </c>
      <c r="I13" s="282">
        <f t="shared" si="0"/>
        <v>0.16752686713801151</v>
      </c>
      <c r="J13" s="430">
        <f>SUM(F13:I13)</f>
        <v>1</v>
      </c>
      <c r="K13" s="393">
        <f t="shared" si="0"/>
        <v>0.40491115585204568</v>
      </c>
      <c r="L13" s="282">
        <f>SUMPRODUCT(L15:L32,$C$15:$C$32)/SUM($C$15:$C$32)</f>
        <v>0.50606601529599182</v>
      </c>
      <c r="M13" s="282">
        <f t="shared" si="0"/>
        <v>8.9022828851962527E-2</v>
      </c>
      <c r="N13" s="430">
        <f>SUM(K13:M13)</f>
        <v>1</v>
      </c>
      <c r="O13" s="277">
        <f>SUM(O15:O32)</f>
        <v>9376612861.4769344</v>
      </c>
      <c r="P13" s="271"/>
      <c r="Q13" s="272">
        <f>SUM(Q15:Q32)</f>
        <v>0.8011980863588184</v>
      </c>
      <c r="R13" s="282">
        <f>SUMPRODUCT(R15:R32,$O$15:$O$32)/SUM($O$15:$O$32)</f>
        <v>0.49517202201963123</v>
      </c>
      <c r="S13" s="282">
        <f t="shared" ref="S13:Y13" si="1">SUMPRODUCT(S15:S32,$O$15:$O$32)/SUM($O$15:$O$32)</f>
        <v>0.22662546574992809</v>
      </c>
      <c r="T13" s="282">
        <f t="shared" si="1"/>
        <v>0.26576523680895797</v>
      </c>
      <c r="U13" s="282">
        <f t="shared" si="1"/>
        <v>1.2437275421482576E-2</v>
      </c>
      <c r="V13" s="430">
        <f>SUM(R13:U13)</f>
        <v>0.99999999999999978</v>
      </c>
      <c r="W13" s="393">
        <f t="shared" si="1"/>
        <v>3.4699254746653918E-2</v>
      </c>
      <c r="X13" s="282">
        <f>SUMPRODUCT(X15:X32,$O$15:$O$32)/SUM($O$15:$O$32)</f>
        <v>0.94887296485391082</v>
      </c>
      <c r="Y13" s="282">
        <f t="shared" si="1"/>
        <v>1.6427780399435227E-2</v>
      </c>
      <c r="Z13" s="430">
        <f>SUM(W13:Y13)</f>
        <v>1</v>
      </c>
      <c r="AA13" s="702"/>
      <c r="AB13" s="703"/>
      <c r="AD13" s="16" t="s">
        <v>888</v>
      </c>
      <c r="AE13" s="18">
        <f>M13*C13</f>
        <v>61970950.997030802</v>
      </c>
      <c r="AF13" s="18">
        <f>Y13*O13</f>
        <v>154036936.97886303</v>
      </c>
    </row>
    <row r="14" spans="1:32" ht="15" customHeight="1" thickTop="1" thickBot="1">
      <c r="A14" s="224" t="s">
        <v>591</v>
      </c>
      <c r="B14" s="232"/>
      <c r="C14" s="232"/>
      <c r="D14" s="232"/>
      <c r="E14" s="232"/>
      <c r="F14" s="232"/>
      <c r="G14" s="232"/>
      <c r="H14" s="232"/>
      <c r="I14" s="232"/>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32"/>
      <c r="B15" s="232" t="s">
        <v>402</v>
      </c>
      <c r="C15" s="243">
        <f>conv_ng_frac*'Natural Gas'!C15</f>
        <v>11895134.610936837</v>
      </c>
      <c r="D15" s="243">
        <f>C15/AA15</f>
        <v>6.3343864653247735E-4</v>
      </c>
      <c r="E15" s="243">
        <f>C15/AB15</f>
        <v>1.0163967765394115E-3</v>
      </c>
      <c r="F15" s="240">
        <f>'Intermediate o&amp;g entries'!H17/'Intermediate o&amp;g entries'!$H$13</f>
        <v>0.91429956358165576</v>
      </c>
      <c r="G15" s="425"/>
      <c r="H15" s="425"/>
      <c r="I15" s="240">
        <f>'Intermediate o&amp;g entries'!H20/'Intermediate o&amp;g entries'!$H$13</f>
        <v>8.5700436418344142E-2</v>
      </c>
      <c r="J15" s="430">
        <f t="shared" ref="J15:J35" si="2">SUM(F15:I15)</f>
        <v>0.99999999999999989</v>
      </c>
      <c r="K15" s="299">
        <f>'Intermediate o&amp;g entries'!H14/'Intermediate o&amp;g entries'!$H$13</f>
        <v>0.59429471632807629</v>
      </c>
      <c r="L15" s="300">
        <f>'Intermediate o&amp;g entries'!H15/'Intermediate o&amp;g entries'!$H$13</f>
        <v>0.32000484725357953</v>
      </c>
      <c r="M15" s="240">
        <f>'Intermediate o&amp;g entries'!H16/'Intermediate o&amp;g entries'!$H$13</f>
        <v>8.5700436418344142E-2</v>
      </c>
      <c r="N15" s="430">
        <f>SUM(K15:M15)</f>
        <v>0.99999999999999989</v>
      </c>
      <c r="O15" s="677">
        <f>conv_ng_frac*'Natural Gas'!O15</f>
        <v>10875716.3835246</v>
      </c>
      <c r="P15" s="243">
        <f>O15/AA15</f>
        <v>5.7915267808039878E-4</v>
      </c>
      <c r="Q15" s="243">
        <f>O15/AB15</f>
        <v>9.292911292157857E-4</v>
      </c>
      <c r="R15" s="240">
        <f>'Natural Gas'!R15</f>
        <v>1</v>
      </c>
      <c r="S15" s="240"/>
      <c r="T15" s="240"/>
      <c r="U15" s="240"/>
      <c r="V15" s="430">
        <f>SUM(R15:U15)</f>
        <v>1</v>
      </c>
      <c r="W15" s="299">
        <f>'Natural Gas'!W15</f>
        <v>0.65</v>
      </c>
      <c r="X15" s="300">
        <f>'Natural Gas'!X15</f>
        <v>0.35</v>
      </c>
      <c r="Y15" s="240">
        <f>'Natural Gas'!Y15</f>
        <v>0</v>
      </c>
      <c r="Z15" s="430">
        <f>SUM(W15:Y15)</f>
        <v>1</v>
      </c>
      <c r="AA15" s="706">
        <f>conv_ng_frac*'Natural Gas'!AA15</f>
        <v>18778668898.799114</v>
      </c>
      <c r="AB15" s="707">
        <f>conv_ng_frac*'Natural Gas'!AB15</f>
        <v>11703239212.777645</v>
      </c>
      <c r="AD15" s="16" t="s">
        <v>267</v>
      </c>
      <c r="AE15" s="18">
        <f>F13*C13</f>
        <v>534272821.58032489</v>
      </c>
      <c r="AF15" s="18">
        <f>R13*O13</f>
        <v>4643036350.3128138</v>
      </c>
    </row>
    <row r="16" spans="1:32" ht="15" customHeight="1" thickTop="1" thickBot="1">
      <c r="A16" s="232"/>
      <c r="B16" s="232" t="s">
        <v>405</v>
      </c>
      <c r="C16" s="243">
        <f>'Natural Gas'!C18</f>
        <v>109215351.02580056</v>
      </c>
      <c r="D16" s="243">
        <f>C16/AA16</f>
        <v>5.8159261241772474E-3</v>
      </c>
      <c r="E16" s="243">
        <f>C16/AB16</f>
        <v>9.3320617514643968E-3</v>
      </c>
      <c r="F16" s="240"/>
      <c r="G16" s="240"/>
      <c r="H16" s="240"/>
      <c r="I16" s="240">
        <f>'Natural Gas'!I18</f>
        <v>1</v>
      </c>
      <c r="J16" s="430">
        <f t="shared" si="2"/>
        <v>1</v>
      </c>
      <c r="K16" s="299">
        <f>'Natural Gas'!K18</f>
        <v>1</v>
      </c>
      <c r="L16" s="300"/>
      <c r="M16" s="240"/>
      <c r="N16" s="430">
        <f>SUM(K16:M16)</f>
        <v>1</v>
      </c>
      <c r="O16" s="677">
        <f>'Natural Gas'!O18</f>
        <v>110234769.25321279</v>
      </c>
      <c r="P16" s="243">
        <f>O16/AA16</f>
        <v>5.8702120926293266E-3</v>
      </c>
      <c r="Q16" s="243">
        <f>O16/AB16</f>
        <v>9.4191673987880226E-3</v>
      </c>
      <c r="R16" s="240"/>
      <c r="S16" s="240"/>
      <c r="T16" s="240"/>
      <c r="U16" s="240">
        <f>'Natural Gas'!U18</f>
        <v>1</v>
      </c>
      <c r="V16" s="430">
        <f>SUM(R16:U16)</f>
        <v>1</v>
      </c>
      <c r="W16" s="299">
        <f>'Natural Gas'!W18</f>
        <v>1</v>
      </c>
      <c r="X16" s="300"/>
      <c r="Y16" s="240"/>
      <c r="Z16" s="430">
        <f>SUM(W16:Y16)</f>
        <v>1</v>
      </c>
      <c r="AA16" s="706">
        <f>'Natural Gas'!AA18</f>
        <v>18778668898.799114</v>
      </c>
      <c r="AB16" s="707">
        <f>conv_ng_frac*'Natural Gas'!AB16</f>
        <v>11703239212.777645</v>
      </c>
      <c r="AD16" s="16" t="s">
        <v>654</v>
      </c>
      <c r="AE16" s="18">
        <f>G13*C13</f>
        <v>23488704.152657751</v>
      </c>
      <c r="AF16" s="18">
        <f>S13*O13</f>
        <v>2124979256.8889763</v>
      </c>
    </row>
    <row r="17" spans="1:32" ht="15" customHeight="1" thickTop="1">
      <c r="A17" s="232"/>
      <c r="B17" s="232"/>
      <c r="C17" s="284"/>
      <c r="D17" s="232"/>
      <c r="E17" s="232"/>
      <c r="F17" s="240"/>
      <c r="G17" s="240"/>
      <c r="H17" s="240"/>
      <c r="I17" s="240"/>
      <c r="J17" s="425"/>
      <c r="K17" s="299"/>
      <c r="L17" s="300"/>
      <c r="M17" s="240"/>
      <c r="N17" s="425"/>
      <c r="O17" s="679"/>
      <c r="P17" s="232"/>
      <c r="Q17" s="232"/>
      <c r="R17" s="240"/>
      <c r="S17" s="240"/>
      <c r="T17" s="240"/>
      <c r="U17" s="240"/>
      <c r="V17" s="425"/>
      <c r="W17" s="299"/>
      <c r="X17" s="300"/>
      <c r="Y17" s="240"/>
      <c r="Z17" s="425"/>
      <c r="AA17" s="706"/>
      <c r="AB17" s="707"/>
      <c r="AD17" s="16" t="s">
        <v>889</v>
      </c>
      <c r="AE17" s="18">
        <f>H13*C13</f>
        <v>21743219.153561261</v>
      </c>
      <c r="AF17" s="18">
        <f>T13*O13</f>
        <v>2491977737.5963387</v>
      </c>
    </row>
    <row r="18" spans="1:32" ht="15" customHeight="1" thickBot="1">
      <c r="A18" s="221" t="s">
        <v>66</v>
      </c>
      <c r="B18" s="232"/>
      <c r="C18" s="284"/>
      <c r="D18" s="232"/>
      <c r="E18" s="232"/>
      <c r="F18" s="240"/>
      <c r="G18" s="240"/>
      <c r="H18" s="240"/>
      <c r="I18" s="240"/>
      <c r="J18" s="425"/>
      <c r="K18" s="299"/>
      <c r="L18" s="300"/>
      <c r="M18" s="240"/>
      <c r="N18" s="425"/>
      <c r="O18" s="679"/>
      <c r="P18" s="232"/>
      <c r="Q18" s="232"/>
      <c r="R18" s="240"/>
      <c r="S18" s="240"/>
      <c r="T18" s="240"/>
      <c r="U18" s="240"/>
      <c r="V18" s="425"/>
      <c r="W18" s="299"/>
      <c r="X18" s="300"/>
      <c r="Y18" s="240"/>
      <c r="Z18" s="425"/>
      <c r="AA18" s="706"/>
      <c r="AB18" s="707"/>
      <c r="AD18" s="16" t="s">
        <v>890</v>
      </c>
      <c r="AE18" s="18">
        <f>I13*C13</f>
        <v>116619516.6788045</v>
      </c>
      <c r="AF18" s="18">
        <f>U13*O13</f>
        <v>116619516.67880447</v>
      </c>
    </row>
    <row r="19" spans="1:32" ht="15" customHeight="1" thickTop="1" thickBot="1">
      <c r="A19" s="232"/>
      <c r="B19" s="232" t="s">
        <v>507</v>
      </c>
      <c r="C19" s="243">
        <f>conv_ng_frac*'Natural Gas'!C23</f>
        <v>6384747.4255916988</v>
      </c>
      <c r="D19" s="243">
        <f>C19/AA19</f>
        <v>3.4000000000000002E-4</v>
      </c>
      <c r="E19" s="243">
        <f>C19/AB19</f>
        <v>5.4555386842138585E-4</v>
      </c>
      <c r="F19" s="304"/>
      <c r="G19" s="304"/>
      <c r="H19" s="304"/>
      <c r="I19" s="304">
        <f>'Natural Gas'!I18</f>
        <v>1</v>
      </c>
      <c r="J19" s="430">
        <f t="shared" si="2"/>
        <v>1</v>
      </c>
      <c r="K19" s="299">
        <f>'Natural Gas'!K23</f>
        <v>1</v>
      </c>
      <c r="L19" s="300"/>
      <c r="M19" s="240"/>
      <c r="N19" s="430">
        <f>SUM(K19:M19)</f>
        <v>1</v>
      </c>
      <c r="O19" s="677">
        <f>conv_ng_frac*'Natural Gas'!O23</f>
        <v>6384747.4255916988</v>
      </c>
      <c r="P19" s="243">
        <f>O19/AA19</f>
        <v>3.4000000000000002E-4</v>
      </c>
      <c r="Q19" s="243">
        <f>O19/AB19</f>
        <v>5.4555386842138585E-4</v>
      </c>
      <c r="R19" s="304"/>
      <c r="S19" s="304"/>
      <c r="T19" s="304"/>
      <c r="U19" s="304">
        <f>'Natural Gas'!U18</f>
        <v>1</v>
      </c>
      <c r="V19" s="430">
        <f>SUM(R19:U19)</f>
        <v>1</v>
      </c>
      <c r="W19" s="299">
        <f>'Natural Gas'!W23</f>
        <v>1</v>
      </c>
      <c r="X19" s="300"/>
      <c r="Y19" s="240"/>
      <c r="Z19" s="430">
        <f>SUM(W19:Y19)</f>
        <v>1</v>
      </c>
      <c r="AA19" s="706">
        <f>conv_ng_frac*'Natural Gas'!AA23</f>
        <v>18778668898.799114</v>
      </c>
      <c r="AB19" s="707">
        <f>conv_ng_frac*'Natural Gas'!AB23</f>
        <v>11703239212.777645</v>
      </c>
    </row>
    <row r="20" spans="1:32" ht="15" customHeight="1" thickTop="1" thickBot="1">
      <c r="A20" s="232"/>
      <c r="B20" s="232" t="s">
        <v>508</v>
      </c>
      <c r="C20" s="243">
        <f>'Natural Gas'!C24</f>
        <v>780000</v>
      </c>
      <c r="D20" s="243">
        <f>C20/AA20</f>
        <v>8.0905484583121011E-5</v>
      </c>
      <c r="E20" s="243">
        <f>C20/AB20</f>
        <v>6.6648214722330278E-5</v>
      </c>
      <c r="F20" s="240">
        <f>'Natural Gas'!F24</f>
        <v>1</v>
      </c>
      <c r="G20" s="240"/>
      <c r="H20" s="240"/>
      <c r="I20" s="240"/>
      <c r="J20" s="430">
        <f t="shared" si="2"/>
        <v>1</v>
      </c>
      <c r="K20" s="299">
        <f>'Natural Gas'!K24</f>
        <v>0.4</v>
      </c>
      <c r="L20" s="300">
        <f>'Natural Gas'!L24</f>
        <v>0.6</v>
      </c>
      <c r="M20" s="240"/>
      <c r="N20" s="430">
        <f>SUM(K20:M20)</f>
        <v>1</v>
      </c>
      <c r="O20" s="677">
        <f>'Natural Gas'!O24</f>
        <v>857611.94029850746</v>
      </c>
      <c r="P20" s="243">
        <f>O20/AA20</f>
        <v>8.8955781556565876E-5</v>
      </c>
      <c r="Q20" s="243">
        <f>O20/AB20</f>
        <v>7.327987787878105E-5</v>
      </c>
      <c r="R20" s="240">
        <f>'Natural Gas'!R24</f>
        <v>1</v>
      </c>
      <c r="S20" s="240"/>
      <c r="T20" s="240"/>
      <c r="U20" s="240"/>
      <c r="V20" s="430">
        <f>SUM(R20:U20)</f>
        <v>1</v>
      </c>
      <c r="W20" s="299">
        <f>'Natural Gas'!W24</f>
        <v>0.4</v>
      </c>
      <c r="X20" s="300">
        <f>'Natural Gas'!X24</f>
        <v>0.6</v>
      </c>
      <c r="Y20" s="240"/>
      <c r="Z20" s="430">
        <f>SUM(W20:Y20)</f>
        <v>1</v>
      </c>
      <c r="AA20" s="706">
        <f>conv_ng_frac*'Natural Gas'!AA24</f>
        <v>9640879156.9456635</v>
      </c>
      <c r="AB20" s="707">
        <f>conv_ng_frac*'Natural Gas'!AB24</f>
        <v>11703239212.777645</v>
      </c>
      <c r="AD20" s="16" t="s">
        <v>614</v>
      </c>
      <c r="AE20" s="419">
        <f>SUM(C15:C16)</f>
        <v>121110485.63673739</v>
      </c>
      <c r="AF20" s="419">
        <f>SUM(O15:O16)</f>
        <v>121110485.63673739</v>
      </c>
    </row>
    <row r="21" spans="1:32" ht="15" customHeight="1" thickTop="1" thickBot="1">
      <c r="A21" s="232"/>
      <c r="B21" s="232" t="s">
        <v>509</v>
      </c>
      <c r="C21" s="243">
        <f>conv_ng_frac*'Natural Gas'!C25</f>
        <v>24276407.144304346</v>
      </c>
      <c r="D21" s="243">
        <f>C21/AA21</f>
        <v>1.292765066317177E-3</v>
      </c>
      <c r="E21" s="243">
        <f>C21/AB21</f>
        <v>2.0743323026157804E-3</v>
      </c>
      <c r="F21" s="240">
        <f>'Natural Gas'!F25</f>
        <v>1</v>
      </c>
      <c r="G21" s="240"/>
      <c r="H21" s="240"/>
      <c r="I21" s="240"/>
      <c r="J21" s="430">
        <f t="shared" si="2"/>
        <v>1</v>
      </c>
      <c r="K21" s="299">
        <f>'Natural Gas'!K25</f>
        <v>0.4</v>
      </c>
      <c r="L21" s="300">
        <f>'Natural Gas'!L25</f>
        <v>0.6</v>
      </c>
      <c r="M21" s="240"/>
      <c r="N21" s="430">
        <f>SUM(K21:M21)</f>
        <v>1</v>
      </c>
      <c r="O21" s="677">
        <f>conv_ng_frac*'Natural Gas'!O25</f>
        <v>36414610.716456518</v>
      </c>
      <c r="P21" s="243">
        <f>O21/AA21</f>
        <v>1.9391475994757655E-3</v>
      </c>
      <c r="Q21" s="243">
        <f>O21/AB21</f>
        <v>3.1114984539236707E-3</v>
      </c>
      <c r="R21" s="240">
        <f>'Natural Gas'!R25</f>
        <v>1</v>
      </c>
      <c r="S21" s="240"/>
      <c r="T21" s="240"/>
      <c r="U21" s="240"/>
      <c r="V21" s="430">
        <f>SUM(R21:U21)</f>
        <v>1</v>
      </c>
      <c r="W21" s="299">
        <f>'Natural Gas'!W25</f>
        <v>0.4</v>
      </c>
      <c r="X21" s="300">
        <f>'Natural Gas'!X25</f>
        <v>0.6</v>
      </c>
      <c r="Y21" s="240"/>
      <c r="Z21" s="430">
        <f>SUM(W21:Y21)</f>
        <v>1</v>
      </c>
      <c r="AA21" s="706">
        <f>conv_ng_frac*'Natural Gas'!AA25</f>
        <v>18778668898.799114</v>
      </c>
      <c r="AB21" s="707">
        <f>conv_ng_frac*'Natural Gas'!AB25</f>
        <v>11703239212.777645</v>
      </c>
      <c r="AD21" s="16" t="s">
        <v>82</v>
      </c>
      <c r="AE21" s="419">
        <f>SUM(C19:C23)</f>
        <v>31566304.029177267</v>
      </c>
      <c r="AF21" s="419">
        <f>SUM(O19:O23)</f>
        <v>43850346.841487557</v>
      </c>
    </row>
    <row r="22" spans="1:32" ht="15" customHeight="1" thickTop="1" thickBot="1">
      <c r="A22" s="232"/>
      <c r="B22" s="232" t="s">
        <v>510</v>
      </c>
      <c r="C22" s="243">
        <f>conv_ng_frac*'Natural Gas'!C26</f>
        <v>113712.16643268541</v>
      </c>
      <c r="D22" s="243">
        <f>C22/AA22</f>
        <v>1.1563611172762006E-2</v>
      </c>
      <c r="E22" s="243">
        <f>C22/AB22</f>
        <v>9.7162985704448381E-6</v>
      </c>
      <c r="F22" s="240">
        <f>'Natural Gas'!F26</f>
        <v>1</v>
      </c>
      <c r="G22" s="240"/>
      <c r="H22" s="240"/>
      <c r="I22" s="240"/>
      <c r="J22" s="430">
        <f t="shared" si="2"/>
        <v>1</v>
      </c>
      <c r="K22" s="299"/>
      <c r="L22" s="300">
        <f>'Natural Gas'!L26</f>
        <v>1</v>
      </c>
      <c r="M22" s="240"/>
      <c r="N22" s="430">
        <f>SUM(K22:M22)</f>
        <v>1</v>
      </c>
      <c r="O22" s="677">
        <f>conv_ng_frac*'Natural Gas'!O26</f>
        <v>181939.46629229665</v>
      </c>
      <c r="P22" s="243">
        <f>O22/AA22</f>
        <v>1.8501777876419209E-2</v>
      </c>
      <c r="Q22" s="243">
        <f>O22/AB22</f>
        <v>1.554607771271174E-5</v>
      </c>
      <c r="R22" s="240">
        <f>'Natural Gas'!R26</f>
        <v>1</v>
      </c>
      <c r="S22" s="240"/>
      <c r="T22" s="240"/>
      <c r="U22" s="240"/>
      <c r="V22" s="430">
        <f>SUM(R22:U22)</f>
        <v>1</v>
      </c>
      <c r="W22" s="299"/>
      <c r="X22" s="300">
        <f>'Natural Gas'!X26</f>
        <v>1</v>
      </c>
      <c r="Y22" s="240"/>
      <c r="Z22" s="430">
        <f>SUM(W22:Y22)</f>
        <v>1</v>
      </c>
      <c r="AA22" s="706">
        <f>conv_ng_frac*'Natural Gas'!AA26</f>
        <v>9833620.7205352522</v>
      </c>
      <c r="AB22" s="707">
        <f>conv_ng_frac*'Natural Gas'!AB26</f>
        <v>11703239212.777645</v>
      </c>
      <c r="AD22" s="16" t="s">
        <v>891</v>
      </c>
      <c r="AE22" s="18">
        <f>SUM(C26:C29)</f>
        <v>57786314.624112986</v>
      </c>
      <c r="AF22" s="419">
        <f>SUM(O26:O29)</f>
        <v>59283807.609195977</v>
      </c>
    </row>
    <row r="23" spans="1:32" ht="15" customHeight="1" thickTop="1" thickBot="1">
      <c r="A23" s="232"/>
      <c r="B23" s="232" t="s">
        <v>511</v>
      </c>
      <c r="C23" s="243">
        <f>conv_ng_frac*'Natural Gas'!C27</f>
        <v>11437.292848533818</v>
      </c>
      <c r="D23" s="243">
        <f>C23/AA23</f>
        <v>3.189572847499848E-4</v>
      </c>
      <c r="E23" s="243">
        <f>C23/AB23</f>
        <v>9.7727583283494149E-7</v>
      </c>
      <c r="F23" s="240">
        <f>'Natural Gas'!F27</f>
        <v>1</v>
      </c>
      <c r="G23" s="240"/>
      <c r="H23" s="240"/>
      <c r="I23" s="240"/>
      <c r="J23" s="430">
        <f t="shared" si="2"/>
        <v>1</v>
      </c>
      <c r="K23" s="299"/>
      <c r="L23" s="300">
        <f>'Natural Gas'!L27</f>
        <v>1</v>
      </c>
      <c r="M23" s="240"/>
      <c r="N23" s="430">
        <f>SUM(K23:M23)</f>
        <v>1</v>
      </c>
      <c r="O23" s="677">
        <f>conv_ng_frac*'Natural Gas'!O27</f>
        <v>11437.292848533818</v>
      </c>
      <c r="P23" s="243">
        <f>O23/AA23</f>
        <v>3.189572847499848E-4</v>
      </c>
      <c r="Q23" s="243">
        <f>O23/AB23</f>
        <v>9.7727583283494149E-7</v>
      </c>
      <c r="R23" s="240">
        <f>'Natural Gas'!R27</f>
        <v>1</v>
      </c>
      <c r="S23" s="240"/>
      <c r="T23" s="240"/>
      <c r="U23" s="240"/>
      <c r="V23" s="430">
        <f>SUM(R23:U23)</f>
        <v>1</v>
      </c>
      <c r="W23" s="299"/>
      <c r="X23" s="300">
        <f>'Natural Gas'!X27</f>
        <v>1</v>
      </c>
      <c r="Y23" s="240"/>
      <c r="Z23" s="430">
        <f>SUM(W23:Y23)</f>
        <v>1</v>
      </c>
      <c r="AA23" s="706">
        <f>conv_ng_frac*'Natural Gas'!AA27</f>
        <v>35858384.164196029</v>
      </c>
      <c r="AB23" s="707">
        <f>conv_ng_frac*'Natural Gas'!AB27</f>
        <v>11703239212.777645</v>
      </c>
      <c r="AD23" s="16" t="s">
        <v>892</v>
      </c>
      <c r="AE23" s="419">
        <f>C32</f>
        <v>485661157.27532077</v>
      </c>
      <c r="AF23" s="419">
        <f>O32</f>
        <v>9152368221.389513</v>
      </c>
    </row>
    <row r="24" spans="1:32" ht="15" customHeight="1" thickTop="1">
      <c r="A24" s="232"/>
      <c r="B24" s="232"/>
      <c r="C24" s="77"/>
      <c r="D24" s="232"/>
      <c r="E24" s="232"/>
      <c r="F24" s="240"/>
      <c r="G24" s="240"/>
      <c r="H24" s="240"/>
      <c r="I24" s="240"/>
      <c r="J24" s="425"/>
      <c r="K24" s="299"/>
      <c r="L24" s="300"/>
      <c r="M24" s="240"/>
      <c r="N24" s="425"/>
      <c r="O24" s="686"/>
      <c r="P24" s="232"/>
      <c r="Q24" s="232"/>
      <c r="R24" s="240"/>
      <c r="S24" s="240"/>
      <c r="T24" s="240"/>
      <c r="U24" s="240"/>
      <c r="V24" s="425"/>
      <c r="W24" s="299"/>
      <c r="X24" s="300"/>
      <c r="Y24" s="240"/>
      <c r="Z24" s="425"/>
      <c r="AA24" s="706"/>
      <c r="AB24" s="707"/>
      <c r="AD24" s="16" t="s">
        <v>893</v>
      </c>
    </row>
    <row r="25" spans="1:32" ht="15" customHeight="1" thickBot="1">
      <c r="A25" s="226" t="s">
        <v>67</v>
      </c>
      <c r="B25" s="232"/>
      <c r="C25" s="77"/>
      <c r="D25" s="232"/>
      <c r="E25" s="232"/>
      <c r="F25" s="240"/>
      <c r="G25" s="240"/>
      <c r="H25" s="240"/>
      <c r="I25" s="240"/>
      <c r="J25" s="425"/>
      <c r="K25" s="299"/>
      <c r="L25" s="300"/>
      <c r="M25" s="240"/>
      <c r="N25" s="425"/>
      <c r="O25" s="686"/>
      <c r="P25" s="232"/>
      <c r="Q25" s="232"/>
      <c r="R25" s="240"/>
      <c r="S25" s="240"/>
      <c r="T25" s="240"/>
      <c r="U25" s="240"/>
      <c r="V25" s="425"/>
      <c r="W25" s="299"/>
      <c r="X25" s="300"/>
      <c r="Y25" s="240"/>
      <c r="Z25" s="425"/>
      <c r="AA25" s="706"/>
      <c r="AB25" s="707"/>
    </row>
    <row r="26" spans="1:32" ht="15" customHeight="1" thickTop="1" thickBot="1">
      <c r="A26" s="232"/>
      <c r="B26" s="232" t="s">
        <v>873</v>
      </c>
      <c r="C26" s="382">
        <f>conv_ng_frac*'Natural Gas'!C30</f>
        <v>0</v>
      </c>
      <c r="D26" s="306"/>
      <c r="E26" s="306"/>
      <c r="F26" s="77"/>
      <c r="G26" s="77"/>
      <c r="H26" s="77"/>
      <c r="I26" s="77"/>
      <c r="J26" s="435"/>
      <c r="K26" s="506"/>
      <c r="L26" s="72"/>
      <c r="M26" s="77"/>
      <c r="N26" s="435"/>
      <c r="O26" s="677">
        <f>conv_ng_frac*'Natural Gas'!O30</f>
        <v>1496426.8253490091</v>
      </c>
      <c r="P26" s="243">
        <f>O26/AA26</f>
        <v>8.2181429551690812E-5</v>
      </c>
      <c r="Q26" s="243">
        <f>O26/AB26</f>
        <v>1.2786432868219972E-4</v>
      </c>
      <c r="R26" s="240">
        <f>'Natural Gas'!R30</f>
        <v>1</v>
      </c>
      <c r="S26" s="240"/>
      <c r="T26" s="240"/>
      <c r="U26" s="240"/>
      <c r="V26" s="430">
        <f>SUM(R26:U26)</f>
        <v>1</v>
      </c>
      <c r="W26" s="299">
        <f>'Natural Gas'!W30</f>
        <v>0.4</v>
      </c>
      <c r="X26" s="300">
        <f>'Natural Gas'!X30</f>
        <v>0.6</v>
      </c>
      <c r="Y26" s="240"/>
      <c r="Z26" s="430">
        <f>SUM(W26:Y26)</f>
        <v>1</v>
      </c>
      <c r="AA26" s="706">
        <f>conv_ng_frac*'Natural Gas'!AA30</f>
        <v>18208819602.094906</v>
      </c>
      <c r="AB26" s="707">
        <f>conv_ng_frac*'Natural Gas'!AB30</f>
        <v>11703239212.777645</v>
      </c>
    </row>
    <row r="27" spans="1:32" ht="15" customHeight="1" thickTop="1" thickBot="1">
      <c r="A27" s="232"/>
      <c r="B27" s="232" t="s">
        <v>406</v>
      </c>
      <c r="C27" s="386">
        <f>conv_ng_frac*'Natural Gas'!C31</f>
        <v>57782426.863296501</v>
      </c>
      <c r="D27" s="387">
        <f>C27/AA27</f>
        <v>0.19544694442152655</v>
      </c>
      <c r="E27" s="387">
        <f>C27/AB27</f>
        <v>4.9373020420029872E-3</v>
      </c>
      <c r="F27" s="240">
        <f>'Natural Gas'!F31</f>
        <v>1</v>
      </c>
      <c r="G27" s="240"/>
      <c r="H27" s="240"/>
      <c r="I27" s="240"/>
      <c r="J27" s="430">
        <f t="shared" si="2"/>
        <v>1</v>
      </c>
      <c r="K27" s="299">
        <f>'Natural Gas'!K31</f>
        <v>0.2</v>
      </c>
      <c r="L27" s="300">
        <f>'Natural Gas'!L31</f>
        <v>0.8</v>
      </c>
      <c r="M27" s="240"/>
      <c r="N27" s="430">
        <f>SUM(K27:M27)</f>
        <v>1</v>
      </c>
      <c r="O27" s="677">
        <f>conv_ng_frac*'Natural Gas'!O31</f>
        <v>57782426.863296501</v>
      </c>
      <c r="P27" s="243">
        <f>O27/AA27</f>
        <v>0.19544694442152655</v>
      </c>
      <c r="Q27" s="243">
        <f>O27/AB27</f>
        <v>4.9373020420029872E-3</v>
      </c>
      <c r="R27" s="240">
        <f>'Natural Gas'!R31</f>
        <v>1</v>
      </c>
      <c r="S27" s="240"/>
      <c r="T27" s="240"/>
      <c r="U27" s="240"/>
      <c r="V27" s="430">
        <f>SUM(R27:U27)</f>
        <v>1</v>
      </c>
      <c r="W27" s="299">
        <f>'Natural Gas'!W31</f>
        <v>0.2</v>
      </c>
      <c r="X27" s="300">
        <f>'Natural Gas'!X31</f>
        <v>0.8</v>
      </c>
      <c r="Y27" s="240"/>
      <c r="Z27" s="430">
        <f>SUM(W27:Y27)</f>
        <v>1</v>
      </c>
      <c r="AA27" s="706">
        <f>conv_ng_frac*'Natural Gas'!AA31</f>
        <v>295642518.40476632</v>
      </c>
      <c r="AB27" s="707">
        <f>conv_ng_frac*'Natural Gas'!AB31</f>
        <v>11703239212.777645</v>
      </c>
    </row>
    <row r="28" spans="1:32" ht="15" customHeight="1" thickTop="1" thickBot="1">
      <c r="A28" s="232"/>
      <c r="B28" s="232" t="s">
        <v>512</v>
      </c>
      <c r="C28" s="243">
        <f>conv_ng_frac*'Natural Gas'!C32</f>
        <v>3887.760816485636</v>
      </c>
      <c r="D28" s="377">
        <f>C28/AA28</f>
        <v>1.084198551357899E-4</v>
      </c>
      <c r="E28" s="377">
        <f>C28/AB28</f>
        <v>3.3219527908486762E-7</v>
      </c>
      <c r="F28" s="240"/>
      <c r="G28" s="240"/>
      <c r="H28" s="240">
        <f>'Natural Gas'!H32</f>
        <v>1</v>
      </c>
      <c r="I28" s="240"/>
      <c r="J28" s="430">
        <f t="shared" si="2"/>
        <v>1</v>
      </c>
      <c r="K28" s="299"/>
      <c r="L28" s="300">
        <f>'Natural Gas'!L32</f>
        <v>1</v>
      </c>
      <c r="M28" s="240"/>
      <c r="N28" s="430">
        <f>SUM(K28:M28)</f>
        <v>1</v>
      </c>
      <c r="O28" s="677">
        <f>conv_ng_frac*'Natural Gas'!O32</f>
        <v>3887.760816485636</v>
      </c>
      <c r="P28" s="243">
        <f>O28/AA28</f>
        <v>1.084198551357899E-4</v>
      </c>
      <c r="Q28" s="243">
        <f>O28/AB28</f>
        <v>3.3219527908486762E-7</v>
      </c>
      <c r="R28" s="240"/>
      <c r="S28" s="240"/>
      <c r="T28" s="240">
        <f>'Natural Gas'!T32</f>
        <v>1</v>
      </c>
      <c r="U28" s="240"/>
      <c r="V28" s="430">
        <f>SUM(R28:U28)</f>
        <v>1</v>
      </c>
      <c r="W28" s="299"/>
      <c r="X28" s="300">
        <f>'Natural Gas'!X32</f>
        <v>1</v>
      </c>
      <c r="Y28" s="240"/>
      <c r="Z28" s="430">
        <f>SUM(W28:Y28)</f>
        <v>1</v>
      </c>
      <c r="AA28" s="706">
        <f>conv_ng_frac*'Natural Gas'!AA32</f>
        <v>35858384.164196029</v>
      </c>
      <c r="AB28" s="707">
        <f>conv_ng_frac*'Natural Gas'!AB32</f>
        <v>11703239212.777645</v>
      </c>
    </row>
    <row r="29" spans="1:32" ht="15" customHeight="1" thickTop="1" thickBot="1">
      <c r="A29" s="232"/>
      <c r="B29" s="232" t="s">
        <v>535</v>
      </c>
      <c r="C29" s="382">
        <f>conv_ng_frac*'Natural Gas'!C33</f>
        <v>0</v>
      </c>
      <c r="D29" s="306"/>
      <c r="E29" s="306"/>
      <c r="F29" s="240"/>
      <c r="G29" s="240"/>
      <c r="H29" s="240"/>
      <c r="I29" s="240"/>
      <c r="J29" s="434"/>
      <c r="K29" s="299"/>
      <c r="L29" s="300"/>
      <c r="M29" s="240"/>
      <c r="N29" s="434"/>
      <c r="O29" s="677">
        <f>conv_ng_frac*'Natural Gas'!O33</f>
        <v>1066.1597339807338</v>
      </c>
      <c r="P29" s="243">
        <f>O29/AA29</f>
        <v>1.0841985513578989E-4</v>
      </c>
      <c r="Q29" s="243">
        <f>O29/AB29</f>
        <v>9.1099542152115982E-8</v>
      </c>
      <c r="R29" s="240"/>
      <c r="S29" s="240"/>
      <c r="T29" s="240">
        <f>'Natural Gas'!T33</f>
        <v>1</v>
      </c>
      <c r="U29" s="240"/>
      <c r="V29" s="430">
        <f>SUM(R29:U29)</f>
        <v>1</v>
      </c>
      <c r="W29" s="299"/>
      <c r="X29" s="300">
        <f>'Natural Gas'!X33</f>
        <v>1</v>
      </c>
      <c r="Y29" s="240"/>
      <c r="Z29" s="430">
        <f>SUM(W29:Y29)</f>
        <v>1</v>
      </c>
      <c r="AA29" s="706">
        <f>conv_ng_frac*'Natural Gas'!AA33</f>
        <v>9833620.7205352522</v>
      </c>
      <c r="AB29" s="707">
        <f>conv_ng_frac*'Natural Gas'!AB33</f>
        <v>11703239212.777645</v>
      </c>
    </row>
    <row r="30" spans="1:32" ht="15" customHeight="1" thickTop="1">
      <c r="A30" s="232"/>
      <c r="B30" s="232"/>
      <c r="C30" s="232"/>
      <c r="D30" s="232"/>
      <c r="E30" s="232"/>
      <c r="F30" s="240"/>
      <c r="G30" s="240"/>
      <c r="H30" s="240"/>
      <c r="I30" s="240"/>
      <c r="J30" s="425"/>
      <c r="K30" s="299"/>
      <c r="L30" s="300"/>
      <c r="M30" s="240"/>
      <c r="N30" s="425"/>
      <c r="O30" s="680"/>
      <c r="P30" s="232"/>
      <c r="Q30" s="232"/>
      <c r="R30" s="240"/>
      <c r="S30" s="240"/>
      <c r="T30" s="240"/>
      <c r="U30" s="240"/>
      <c r="V30" s="425"/>
      <c r="W30" s="299"/>
      <c r="X30" s="300"/>
      <c r="Y30" s="240"/>
      <c r="Z30" s="425"/>
      <c r="AA30" s="706"/>
      <c r="AB30" s="707"/>
    </row>
    <row r="31" spans="1:32" ht="15" customHeight="1" thickBot="1">
      <c r="A31" s="222" t="s">
        <v>68</v>
      </c>
      <c r="B31" s="232"/>
      <c r="C31" s="232"/>
      <c r="D31" s="232"/>
      <c r="E31" s="232"/>
      <c r="F31" s="240"/>
      <c r="G31" s="240"/>
      <c r="H31" s="240"/>
      <c r="I31" s="240"/>
      <c r="J31" s="425"/>
      <c r="K31" s="299"/>
      <c r="L31" s="300"/>
      <c r="M31" s="240"/>
      <c r="N31" s="425"/>
      <c r="O31" s="680"/>
      <c r="P31" s="232"/>
      <c r="Q31" s="232"/>
      <c r="R31" s="240"/>
      <c r="S31" s="240"/>
      <c r="T31" s="240"/>
      <c r="U31" s="240"/>
      <c r="V31" s="425"/>
      <c r="W31" s="299"/>
      <c r="X31" s="300"/>
      <c r="Y31" s="240"/>
      <c r="Z31" s="425"/>
      <c r="AA31" s="706"/>
      <c r="AB31" s="707"/>
    </row>
    <row r="32" spans="1:32" ht="15" customHeight="1" thickTop="1" thickBot="1">
      <c r="A32" s="232"/>
      <c r="B32" s="232" t="s">
        <v>487</v>
      </c>
      <c r="C32" s="243">
        <f>conv_ng_frac*'Natural Gas'!C36</f>
        <v>485661157.27532077</v>
      </c>
      <c r="D32" s="243">
        <f>C32/AA32</f>
        <v>9.9707812002127319E-2</v>
      </c>
      <c r="E32" s="243">
        <f>C32/AB32</f>
        <v>4.149801165689871E-2</v>
      </c>
      <c r="F32" s="240">
        <f>'Natural Gas'!F36</f>
        <v>0.90687326983458383</v>
      </c>
      <c r="G32" s="240">
        <f>'Natural Gas'!G36</f>
        <v>4.8364386982140371E-2</v>
      </c>
      <c r="H32" s="240">
        <f>'Natural Gas'!H36</f>
        <v>4.4762343183275773E-2</v>
      </c>
      <c r="I32" s="332"/>
      <c r="J32" s="430">
        <f t="shared" si="2"/>
        <v>1</v>
      </c>
      <c r="K32" s="299">
        <f>'Natural Gas'!K36</f>
        <v>0.28336653029469272</v>
      </c>
      <c r="L32" s="240">
        <f>'Natural Gas'!L36</f>
        <v>0.59113129219625604</v>
      </c>
      <c r="M32" s="240">
        <f>'Natural Gas'!M36</f>
        <v>0.12550217750905127</v>
      </c>
      <c r="N32" s="430">
        <f>SUM(K32:M32)</f>
        <v>1</v>
      </c>
      <c r="O32" s="677">
        <f>conv_ng_frac*'Natural Gas'!O36</f>
        <v>9152368221.389513</v>
      </c>
      <c r="P32" s="243">
        <f>O32/AA32</f>
        <v>1.8790109036354727</v>
      </c>
      <c r="Q32" s="243">
        <f>O32/AB32</f>
        <v>0.78203718261153876</v>
      </c>
      <c r="R32" s="240">
        <f>'Natural Gas'!R36</f>
        <v>0.49554564142483565</v>
      </c>
      <c r="S32" s="240">
        <f>'Natural Gas'!S36</f>
        <v>0.23217807735519211</v>
      </c>
      <c r="T32" s="240">
        <f>'Natural Gas'!T36</f>
        <v>0.27227628121997227</v>
      </c>
      <c r="U32" s="240"/>
      <c r="V32" s="430">
        <f>SUM(R32:U32)</f>
        <v>1</v>
      </c>
      <c r="W32" s="299">
        <f>'Natural Gas'!W36</f>
        <v>1.907799125033828E-2</v>
      </c>
      <c r="X32" s="240">
        <f>'Natural Gas'!X36</f>
        <v>0.96409172687585432</v>
      </c>
      <c r="Y32" s="240">
        <f>'Natural Gas'!Y36</f>
        <v>1.6830281873807425E-2</v>
      </c>
      <c r="Z32" s="430">
        <f>SUM(W32:Y32)</f>
        <v>1</v>
      </c>
      <c r="AA32" s="706">
        <f>conv_ng_frac*'Natural Gas'!AA36</f>
        <v>4870843593.1274767</v>
      </c>
      <c r="AB32" s="707">
        <f>conv_ng_frac*'Natural Gas'!AB36</f>
        <v>11703239212.777645</v>
      </c>
    </row>
    <row r="33" spans="1:28" ht="15" customHeight="1" thickTop="1">
      <c r="A33" s="232"/>
      <c r="B33" s="232"/>
      <c r="C33" s="232"/>
      <c r="D33" s="232"/>
      <c r="E33" s="232"/>
      <c r="F33" s="232"/>
      <c r="G33" s="232"/>
      <c r="H33" s="232"/>
      <c r="I33" s="232"/>
      <c r="J33" s="431"/>
      <c r="K33" s="301"/>
      <c r="L33" s="232"/>
      <c r="M33" s="232"/>
      <c r="N33" s="431"/>
      <c r="O33" s="680"/>
      <c r="P33" s="232"/>
      <c r="Q33" s="232"/>
      <c r="R33" s="232"/>
      <c r="S33" s="232"/>
      <c r="T33" s="232"/>
      <c r="U33" s="232"/>
      <c r="V33" s="431"/>
      <c r="W33" s="301"/>
      <c r="X33" s="232"/>
      <c r="Y33" s="232"/>
      <c r="Z33" s="431"/>
      <c r="AA33" s="301"/>
      <c r="AB33" s="708"/>
    </row>
    <row r="34" spans="1:28" ht="15" customHeight="1" thickBot="1">
      <c r="A34" s="257" t="s">
        <v>413</v>
      </c>
      <c r="B34" s="232"/>
      <c r="C34" s="232"/>
      <c r="D34" s="232"/>
      <c r="E34" s="232"/>
      <c r="F34" s="232"/>
      <c r="G34" s="232"/>
      <c r="H34" s="232"/>
      <c r="I34" s="232"/>
      <c r="J34" s="431"/>
      <c r="K34" s="301"/>
      <c r="L34" s="232"/>
      <c r="M34" s="232"/>
      <c r="N34" s="431"/>
      <c r="O34" s="680"/>
      <c r="P34" s="232"/>
      <c r="Q34" s="232"/>
      <c r="R34" s="232"/>
      <c r="S34" s="232"/>
      <c r="T34" s="232"/>
      <c r="U34" s="232"/>
      <c r="V34" s="232"/>
      <c r="W34" s="301"/>
      <c r="X34" s="232"/>
      <c r="Y34" s="232"/>
      <c r="Z34" s="232"/>
      <c r="AA34" s="301"/>
      <c r="AB34" s="708"/>
    </row>
    <row r="35" spans="1:28" ht="15" customHeight="1" thickTop="1" thickBot="1">
      <c r="A35" s="232"/>
      <c r="B35" s="232" t="s">
        <v>413</v>
      </c>
      <c r="C35" s="243">
        <f>conv_ng_frac*'Natural Gas'!C39</f>
        <v>-553984112.41544533</v>
      </c>
      <c r="D35" s="243">
        <f>C35/AA35</f>
        <v>-3.7999999999999992E-2</v>
      </c>
      <c r="E35" s="243">
        <f>C35/AB35</f>
        <v>-4.7335964201313016E-2</v>
      </c>
      <c r="F35" s="240">
        <f>'Natural Gas'!F39</f>
        <v>1</v>
      </c>
      <c r="G35" s="240"/>
      <c r="H35" s="240"/>
      <c r="I35" s="240"/>
      <c r="J35" s="430">
        <f t="shared" si="2"/>
        <v>1</v>
      </c>
      <c r="K35" s="299"/>
      <c r="L35" s="240">
        <f>'Natural Gas'!L39</f>
        <v>1</v>
      </c>
      <c r="M35" s="240"/>
      <c r="N35" s="430">
        <f>SUM(K35:M35)</f>
        <v>1</v>
      </c>
      <c r="O35" s="677">
        <f>conv_ng_frac*'Natural Gas'!O39</f>
        <v>-553984112.41544533</v>
      </c>
      <c r="P35" s="243">
        <f>O35/AA35</f>
        <v>-3.7999999999999992E-2</v>
      </c>
      <c r="Q35" s="243">
        <f>O35/AB35</f>
        <v>-4.7335964201313016E-2</v>
      </c>
      <c r="R35" s="240">
        <f>'Natural Gas'!R39</f>
        <v>1</v>
      </c>
      <c r="S35" s="240"/>
      <c r="T35" s="240"/>
      <c r="U35" s="240"/>
      <c r="V35" s="430">
        <f>SUM(R35:U35)</f>
        <v>1</v>
      </c>
      <c r="W35" s="299"/>
      <c r="X35" s="240">
        <f>'Natural Gas'!X39</f>
        <v>1</v>
      </c>
      <c r="Y35" s="240"/>
      <c r="Z35" s="430">
        <f>SUM(W35:Y35)</f>
        <v>1</v>
      </c>
      <c r="AA35" s="709">
        <f>conv_ng_frac*'Natural Gas'!AA39</f>
        <v>14578529274.09067</v>
      </c>
      <c r="AB35" s="710">
        <f>conv_ng_frac*'Natural Gas'!AB39</f>
        <v>11703239212.777645</v>
      </c>
    </row>
    <row r="36" spans="1:28" ht="15" customHeight="1" thickTop="1">
      <c r="J36" s="433"/>
      <c r="N36" s="433"/>
      <c r="V36" s="433"/>
      <c r="Z36" s="429"/>
    </row>
    <row r="37" spans="1:28" ht="15" customHeight="1">
      <c r="J37" s="433"/>
      <c r="N37" s="433"/>
      <c r="V37" s="433"/>
      <c r="Z37" s="433"/>
    </row>
    <row r="38" spans="1:28" ht="15" customHeight="1">
      <c r="J38" s="433"/>
      <c r="N38" s="433"/>
      <c r="V38" s="433"/>
      <c r="Z38" s="433"/>
    </row>
    <row r="39" spans="1:28" ht="15" customHeight="1">
      <c r="J39" s="433"/>
      <c r="N39" s="433"/>
      <c r="V39" s="433"/>
      <c r="Z39" s="433"/>
    </row>
    <row r="40" spans="1:28" ht="15" customHeight="1"/>
    <row r="41" spans="1:28" ht="15" customHeight="1"/>
    <row r="42" spans="1:28" ht="15" customHeight="1"/>
    <row r="43" spans="1:28" ht="15" customHeight="1"/>
    <row r="44" spans="1:28" ht="15" customHeight="1"/>
    <row r="45" spans="1:28" ht="15" customHeight="1"/>
    <row r="46" spans="1:28" ht="15" customHeight="1"/>
    <row r="47" spans="1:28" ht="15" customHeight="1"/>
    <row r="48" spans="1:28" ht="15" customHeight="1"/>
    <row r="49" spans="2:2" ht="15" customHeight="1"/>
    <row r="50" spans="2:2" ht="15" customHeight="1"/>
    <row r="51" spans="2:2" ht="15" customHeight="1">
      <c r="B51" s="14"/>
    </row>
    <row r="52" spans="2:2" ht="15" customHeight="1"/>
    <row r="53" spans="2:2" ht="15" customHeight="1"/>
    <row r="54" spans="2:2" ht="15" customHeight="1"/>
    <row r="55" spans="2:2" ht="15" customHeight="1"/>
    <row r="56" spans="2:2" ht="15" customHeight="1"/>
    <row r="57" spans="2:2" ht="15" customHeight="1"/>
    <row r="58" spans="2:2" ht="15" customHeight="1"/>
    <row r="59" spans="2:2" ht="15" customHeight="1"/>
    <row r="60" spans="2:2" ht="15" customHeight="1"/>
    <row r="61" spans="2:2" ht="15" customHeight="1"/>
    <row r="62" spans="2:2" ht="15" customHeight="1"/>
    <row r="63" spans="2:2" ht="15" customHeight="1"/>
    <row r="64" spans="2:2"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AA1B13"/>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2" width="10.83203125" style="16"/>
    <col min="13" max="13" width="10.83203125" style="16" customWidth="1"/>
    <col min="14" max="14" width="10.83203125" style="16" hidden="1" customWidth="1"/>
    <col min="15" max="15" width="10.83203125" style="16" customWidth="1"/>
    <col min="16"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1" width="11.6640625" style="16" hidden="1" customWidth="1"/>
    <col min="32" max="32" width="12.6640625" style="16" hidden="1" customWidth="1"/>
    <col min="33" max="16384" width="10.83203125" style="16"/>
  </cols>
  <sheetData>
    <row r="1" spans="1:32" ht="30">
      <c r="A1" s="321" t="s">
        <v>758</v>
      </c>
      <c r="B1" s="322"/>
      <c r="C1" s="486"/>
      <c r="D1" s="486"/>
      <c r="E1" s="323"/>
      <c r="F1" s="322"/>
      <c r="G1" s="322"/>
      <c r="H1" s="322"/>
      <c r="I1" s="322"/>
      <c r="J1" s="401"/>
      <c r="K1" s="322"/>
      <c r="L1" s="322"/>
      <c r="M1" s="322"/>
      <c r="N1" s="401"/>
      <c r="O1" s="322"/>
      <c r="P1" s="322"/>
      <c r="Q1" s="486"/>
      <c r="R1" s="486"/>
      <c r="S1" s="322"/>
      <c r="T1" s="322"/>
      <c r="U1" s="322"/>
      <c r="V1" s="401"/>
      <c r="W1" s="322"/>
      <c r="X1" s="322"/>
      <c r="Y1" s="322"/>
      <c r="Z1" s="401"/>
      <c r="AA1" s="322"/>
      <c r="AB1" s="322"/>
    </row>
    <row r="2" spans="1:32" ht="30">
      <c r="A2" s="321" t="s">
        <v>878</v>
      </c>
      <c r="B2" s="322"/>
      <c r="C2" s="322"/>
      <c r="D2" s="322"/>
      <c r="E2" s="323"/>
      <c r="F2" s="322"/>
      <c r="G2" s="322"/>
      <c r="H2" s="322"/>
      <c r="I2" s="322"/>
      <c r="J2" s="401"/>
      <c r="K2" s="322"/>
      <c r="L2" s="322"/>
      <c r="M2" s="322"/>
      <c r="N2" s="401"/>
      <c r="O2" s="322"/>
      <c r="P2" s="322"/>
      <c r="Q2" s="322"/>
      <c r="R2" s="322"/>
      <c r="S2" s="322"/>
      <c r="T2" s="322"/>
      <c r="U2" s="322"/>
      <c r="V2" s="401"/>
      <c r="W2" s="322"/>
      <c r="X2" s="322"/>
      <c r="Y2" s="322"/>
      <c r="Z2" s="401"/>
      <c r="AA2" s="322"/>
      <c r="AB2" s="322"/>
    </row>
    <row r="3" spans="1:32" ht="30">
      <c r="A3" s="321" t="s">
        <v>879</v>
      </c>
      <c r="B3" s="322"/>
      <c r="C3" s="322"/>
      <c r="D3" s="322"/>
      <c r="E3" s="323"/>
      <c r="F3" s="322"/>
      <c r="G3" s="322"/>
      <c r="H3" s="322"/>
      <c r="I3" s="322"/>
      <c r="J3" s="401"/>
      <c r="K3" s="322"/>
      <c r="L3" s="322"/>
      <c r="M3" s="322"/>
      <c r="N3" s="401"/>
      <c r="O3" s="322"/>
      <c r="P3" s="322"/>
      <c r="Q3" s="322"/>
      <c r="R3" s="322"/>
      <c r="S3" s="322"/>
      <c r="T3" s="322"/>
      <c r="U3" s="322"/>
      <c r="V3" s="401"/>
      <c r="W3" s="322"/>
      <c r="X3" s="322"/>
      <c r="Y3" s="322"/>
      <c r="Z3" s="401"/>
      <c r="AA3" s="322"/>
      <c r="AB3" s="322"/>
    </row>
    <row r="4" spans="1:32" ht="30">
      <c r="A4" s="321"/>
      <c r="B4" s="322"/>
      <c r="C4" s="322"/>
      <c r="D4" s="322"/>
      <c r="E4" s="323"/>
      <c r="F4" s="322"/>
      <c r="G4" s="322"/>
      <c r="H4" s="322"/>
      <c r="I4" s="322"/>
      <c r="J4" s="401"/>
      <c r="K4" s="322"/>
      <c r="L4" s="322"/>
      <c r="M4" s="322"/>
      <c r="N4" s="401"/>
      <c r="O4" s="322"/>
      <c r="P4" s="322"/>
      <c r="Q4" s="322"/>
      <c r="R4" s="322"/>
      <c r="S4" s="322"/>
      <c r="T4" s="322"/>
      <c r="U4" s="322"/>
      <c r="V4" s="401"/>
      <c r="W4" s="322"/>
      <c r="X4" s="322"/>
      <c r="Y4" s="322"/>
      <c r="Z4" s="401"/>
      <c r="AA4" s="322"/>
      <c r="AB4" s="322"/>
    </row>
    <row r="5" spans="1:32" ht="30">
      <c r="A5" s="321"/>
      <c r="B5" s="322"/>
      <c r="C5" s="322"/>
      <c r="D5" s="322"/>
      <c r="E5" s="323"/>
      <c r="F5" s="322"/>
      <c r="G5" s="322"/>
      <c r="H5" s="322"/>
      <c r="I5" s="322"/>
      <c r="J5" s="401"/>
      <c r="K5" s="322"/>
      <c r="L5" s="322"/>
      <c r="M5" s="322"/>
      <c r="N5" s="401"/>
      <c r="O5" s="322"/>
      <c r="P5" s="322"/>
      <c r="Q5" s="322"/>
      <c r="R5" s="322"/>
      <c r="S5" s="322"/>
      <c r="T5" s="322"/>
      <c r="U5" s="322"/>
      <c r="V5" s="401"/>
      <c r="W5" s="322"/>
      <c r="X5" s="322"/>
      <c r="Y5" s="322"/>
      <c r="Z5" s="401"/>
      <c r="AA5" s="322"/>
      <c r="AB5" s="322"/>
    </row>
    <row r="6" spans="1:32" ht="30">
      <c r="A6" s="321"/>
      <c r="B6" s="322"/>
      <c r="C6" s="322"/>
      <c r="D6" s="322"/>
      <c r="E6" s="323"/>
      <c r="F6" s="322"/>
      <c r="G6" s="322"/>
      <c r="H6" s="322"/>
      <c r="I6" s="322"/>
      <c r="J6" s="401"/>
      <c r="K6" s="322"/>
      <c r="L6" s="322"/>
      <c r="M6" s="322"/>
      <c r="N6" s="401"/>
      <c r="O6" s="322"/>
      <c r="P6" s="322"/>
      <c r="Q6" s="322"/>
      <c r="R6" s="322"/>
      <c r="S6" s="322"/>
      <c r="T6" s="322"/>
      <c r="U6" s="322"/>
      <c r="V6" s="401"/>
      <c r="W6" s="322"/>
      <c r="X6" s="322"/>
      <c r="Y6" s="322"/>
      <c r="Z6" s="401"/>
      <c r="AA6" s="322"/>
      <c r="AB6" s="322"/>
    </row>
    <row r="7" spans="1:32" ht="30">
      <c r="A7" s="321"/>
      <c r="B7" s="322"/>
      <c r="C7" s="322"/>
      <c r="D7" s="322"/>
      <c r="E7" s="323"/>
      <c r="F7" s="322"/>
      <c r="G7" s="322"/>
      <c r="H7" s="322"/>
      <c r="I7" s="322"/>
      <c r="J7" s="401"/>
      <c r="K7" s="322"/>
      <c r="L7" s="322"/>
      <c r="M7" s="322"/>
      <c r="N7" s="401"/>
      <c r="O7" s="322"/>
      <c r="P7" s="322"/>
      <c r="Q7" s="322"/>
      <c r="R7" s="322"/>
      <c r="S7" s="322"/>
      <c r="T7" s="322"/>
      <c r="U7" s="322"/>
      <c r="V7" s="401"/>
      <c r="W7" s="322"/>
      <c r="X7" s="322"/>
      <c r="Y7" s="322"/>
      <c r="Z7" s="401"/>
      <c r="AA7" s="322"/>
      <c r="AB7" s="322"/>
    </row>
    <row r="8" spans="1:32" ht="30">
      <c r="A8" s="321"/>
      <c r="B8" s="322"/>
      <c r="C8" s="322"/>
      <c r="D8" s="322"/>
      <c r="E8" s="323"/>
      <c r="F8" s="322"/>
      <c r="G8" s="322"/>
      <c r="H8" s="322"/>
      <c r="I8" s="322"/>
      <c r="J8" s="401"/>
      <c r="K8" s="322"/>
      <c r="L8" s="322"/>
      <c r="M8" s="322"/>
      <c r="N8" s="401"/>
      <c r="O8" s="322"/>
      <c r="P8" s="322"/>
      <c r="Q8" s="322"/>
      <c r="R8" s="322"/>
      <c r="S8" s="322"/>
      <c r="T8" s="322"/>
      <c r="U8" s="322"/>
      <c r="V8" s="401"/>
      <c r="W8" s="322"/>
      <c r="X8" s="322"/>
      <c r="Y8" s="322"/>
      <c r="Z8" s="401"/>
      <c r="AA8" s="322"/>
      <c r="AB8" s="322"/>
    </row>
    <row r="9" spans="1:32" ht="31" thickBot="1">
      <c r="A9" s="321"/>
      <c r="B9" s="322"/>
      <c r="C9" s="322"/>
      <c r="D9" s="322"/>
      <c r="E9" s="323"/>
      <c r="F9" s="322"/>
      <c r="G9" s="322"/>
      <c r="H9" s="322"/>
      <c r="I9" s="322"/>
      <c r="J9" s="401"/>
      <c r="K9" s="322"/>
      <c r="L9" s="322"/>
      <c r="M9" s="322"/>
      <c r="N9" s="401"/>
      <c r="O9" s="322"/>
      <c r="P9" s="322"/>
      <c r="Q9" s="322"/>
      <c r="R9" s="322"/>
      <c r="S9" s="322"/>
      <c r="T9" s="322"/>
      <c r="U9" s="322"/>
      <c r="V9" s="401"/>
      <c r="W9" s="322"/>
      <c r="X9" s="322"/>
      <c r="Y9" s="322"/>
      <c r="Z9" s="401"/>
      <c r="AA9" s="322"/>
      <c r="AB9" s="322"/>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405413687.04316175</v>
      </c>
      <c r="AF11" s="18">
        <f>X13*O13</f>
        <v>8504399618.5485783</v>
      </c>
    </row>
    <row r="12" spans="1:32" ht="15" customHeight="1" thickBot="1">
      <c r="A12" s="268"/>
      <c r="B12" s="268" t="s">
        <v>48</v>
      </c>
      <c r="C12" s="269">
        <f>SUM(C15:C36)</f>
        <v>455794124.96398407</v>
      </c>
      <c r="D12" s="269"/>
      <c r="E12" s="269">
        <f>SUM(E15:E36)</f>
        <v>4.1090187153018244E-2</v>
      </c>
      <c r="F12" s="270"/>
      <c r="G12" s="270"/>
      <c r="H12" s="270"/>
      <c r="I12" s="270"/>
      <c r="J12" s="270"/>
      <c r="K12" s="501"/>
      <c r="L12" s="270"/>
      <c r="M12" s="270"/>
      <c r="N12" s="270"/>
      <c r="O12" s="276">
        <f>SUM(O15:O36)</f>
        <v>8683235750.3276806</v>
      </c>
      <c r="P12" s="268"/>
      <c r="Q12" s="269">
        <f>SUM(Q15:Q36)</f>
        <v>0.78280030946633294</v>
      </c>
      <c r="R12" s="270"/>
      <c r="S12" s="270"/>
      <c r="T12" s="270"/>
      <c r="U12" s="270"/>
      <c r="V12" s="270"/>
      <c r="W12" s="501"/>
      <c r="X12" s="270"/>
      <c r="Y12" s="270"/>
      <c r="Z12" s="270"/>
      <c r="AA12" s="235"/>
      <c r="AB12" s="236"/>
      <c r="AD12" s="16" t="s">
        <v>887</v>
      </c>
      <c r="AE12" s="18">
        <f>K13*C13</f>
        <v>508152752.39029354</v>
      </c>
      <c r="AF12" s="18">
        <f>W13*O13</f>
        <v>557912887.90198362</v>
      </c>
    </row>
    <row r="13" spans="1:32" ht="15" customHeight="1" thickTop="1" thickBot="1">
      <c r="A13" s="271"/>
      <c r="B13" s="271" t="s">
        <v>870</v>
      </c>
      <c r="C13" s="272">
        <f>SUM(C15:C33)</f>
        <v>980869717.88152909</v>
      </c>
      <c r="D13" s="272"/>
      <c r="E13" s="272">
        <f>SUM(E15:E33)</f>
        <v>8.8426151354331267E-2</v>
      </c>
      <c r="F13" s="282">
        <f>SUMPRODUCT(F15:F33,$C$15:$C$33)/SUM($C$15:$C$33)</f>
        <v>0.76795589619030624</v>
      </c>
      <c r="G13" s="282">
        <f t="shared" ref="G13:M13" si="0">SUMPRODUCT(G15:G33,$C$15:$C$33)/SUM($C$15:$C$33)</f>
        <v>6.5596058182967043E-2</v>
      </c>
      <c r="H13" s="282">
        <f t="shared" si="0"/>
        <v>4.9225720722179733E-2</v>
      </c>
      <c r="I13" s="282">
        <f t="shared" si="0"/>
        <v>0.11722232490454695</v>
      </c>
      <c r="J13" s="430">
        <f>SUM(F13:I13)</f>
        <v>1</v>
      </c>
      <c r="K13" s="393">
        <f t="shared" si="0"/>
        <v>0.51806345238977902</v>
      </c>
      <c r="L13" s="282">
        <f>SUMPRODUCT(L15:L33,$C$15:$C$33)/SUM($C$15:$C$33)</f>
        <v>0.41332062724779545</v>
      </c>
      <c r="M13" s="282">
        <f t="shared" si="0"/>
        <v>6.86159203624256E-2</v>
      </c>
      <c r="N13" s="430">
        <f>SUM(K13:M13)</f>
        <v>1.0000000000000002</v>
      </c>
      <c r="O13" s="277">
        <f>SUM(O15:O33)</f>
        <v>9208311343.2452259</v>
      </c>
      <c r="P13" s="271"/>
      <c r="Q13" s="272">
        <f>SUM(Q15:Q33)</f>
        <v>0.83013627366764597</v>
      </c>
      <c r="R13" s="282">
        <f>SUMPRODUCT(R15:R33,$O$15:$O$33)/SUM($O$15:$O$33)</f>
        <v>0.5047067321993487</v>
      </c>
      <c r="S13" s="282">
        <f t="shared" ref="S13:Y13" si="1">SUMPRODUCT(S15:S33,$O$15:$O$33)/SUM($O$15:$O$33)</f>
        <v>0.22328949129242118</v>
      </c>
      <c r="T13" s="282">
        <f t="shared" si="1"/>
        <v>0.25953227358925945</v>
      </c>
      <c r="U13" s="282">
        <f t="shared" si="1"/>
        <v>1.2471502918970668E-2</v>
      </c>
      <c r="V13" s="430">
        <f>SUM(R13:U13)</f>
        <v>1</v>
      </c>
      <c r="W13" s="393">
        <f t="shared" si="1"/>
        <v>6.0587969618473174E-2</v>
      </c>
      <c r="X13" s="282">
        <f>SUMPRODUCT(X15:X33,$O$15:$O$33)/SUM($O$15:$O$33)</f>
        <v>0.9235569152195312</v>
      </c>
      <c r="Y13" s="282">
        <f t="shared" si="1"/>
        <v>1.5855115161995583E-2</v>
      </c>
      <c r="Z13" s="430">
        <f>SUM(W13:Y13)</f>
        <v>0.99999999999999989</v>
      </c>
      <c r="AA13" s="702"/>
      <c r="AB13" s="703"/>
      <c r="AD13" s="16" t="s">
        <v>888</v>
      </c>
      <c r="AE13" s="18">
        <f>M13*C13</f>
        <v>67303278.448073864</v>
      </c>
      <c r="AF13" s="18">
        <f>Y13*O13</f>
        <v>145998836.79466331</v>
      </c>
    </row>
    <row r="14" spans="1:32" ht="15" customHeight="1" thickTop="1" thickBot="1">
      <c r="A14" s="224" t="s">
        <v>591</v>
      </c>
      <c r="B14" s="232"/>
      <c r="C14" s="232"/>
      <c r="D14" s="232"/>
      <c r="E14" s="232"/>
      <c r="F14" s="232"/>
      <c r="G14" s="232"/>
      <c r="H14" s="232"/>
      <c r="I14" s="232"/>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32"/>
      <c r="B15" s="232" t="s">
        <v>402</v>
      </c>
      <c r="C15" s="243">
        <f>unconv_ng_frac*'Natural Gas'!C15</f>
        <v>11274411.519563163</v>
      </c>
      <c r="D15" s="243">
        <f>C15/AA15</f>
        <v>6.3343864653247735E-4</v>
      </c>
      <c r="E15" s="243">
        <f>C15/AB15</f>
        <v>1.0163967765394115E-3</v>
      </c>
      <c r="F15" s="240">
        <f>'Intermediate o&amp;g entries'!E17/'Intermediate o&amp;g entries'!$E$13</f>
        <v>0.91429956358165598</v>
      </c>
      <c r="G15" s="240"/>
      <c r="H15" s="240">
        <f>'Intermediate o&amp;g entries'!E19/'Intermediate o&amp;g entries'!$E$13</f>
        <v>8.5700436418344156E-2</v>
      </c>
      <c r="I15" s="240"/>
      <c r="J15" s="430">
        <f t="shared" ref="J15:J36" si="2">SUM(F15:I15)</f>
        <v>1.0000000000000002</v>
      </c>
      <c r="K15" s="299">
        <f>'Intermediate o&amp;g entries'!E14/'Intermediate o&amp;g entries'!$E$13</f>
        <v>0.5942947163280764</v>
      </c>
      <c r="L15" s="300">
        <f>'Intermediate o&amp;g entries'!E15/'Intermediate o&amp;g entries'!$E$13</f>
        <v>0.32000484725357958</v>
      </c>
      <c r="M15" s="240">
        <f>'Intermediate o&amp;g entries'!E16/'Intermediate o&amp;g entries'!$E$13</f>
        <v>8.5700436418344156E-2</v>
      </c>
      <c r="N15" s="430">
        <f>SUM(K15:M15)</f>
        <v>1.0000000000000002</v>
      </c>
      <c r="O15" s="677">
        <f>unconv_ng_frac*'Natural Gas'!O15</f>
        <v>10308189.531976592</v>
      </c>
      <c r="P15" s="243">
        <f>O15/AA15</f>
        <v>5.7915267808039878E-4</v>
      </c>
      <c r="Q15" s="243">
        <f>O15/AB15</f>
        <v>9.2929112921578559E-4</v>
      </c>
      <c r="R15" s="240">
        <f>'Natural Gas'!R15</f>
        <v>1</v>
      </c>
      <c r="S15" s="240"/>
      <c r="T15" s="240"/>
      <c r="U15" s="240"/>
      <c r="V15" s="430">
        <f>SUM(R15:U15)</f>
        <v>1</v>
      </c>
      <c r="W15" s="299">
        <f>'Natural Gas'!W15</f>
        <v>0.65</v>
      </c>
      <c r="X15" s="300">
        <f>'Natural Gas'!X15</f>
        <v>0.35</v>
      </c>
      <c r="Y15" s="240"/>
      <c r="Z15" s="430">
        <f>SUM(W15:Y15)</f>
        <v>1</v>
      </c>
      <c r="AA15" s="706">
        <f>unconv_ng_frac*'Natural Gas'!AA15</f>
        <v>17798742753.19434</v>
      </c>
      <c r="AB15" s="707">
        <f>unconv_ng_frac*'Natural Gas'!AB15</f>
        <v>11092529787.382683</v>
      </c>
      <c r="AD15" s="16" t="s">
        <v>267</v>
      </c>
      <c r="AE15" s="18">
        <f>F13*C13</f>
        <v>753264683.24164248</v>
      </c>
      <c r="AF15" s="18">
        <f>R13*O13</f>
        <v>4647496727.1234932</v>
      </c>
    </row>
    <row r="16" spans="1:32" ht="15" customHeight="1" thickTop="1" thickBot="1">
      <c r="A16" s="232"/>
      <c r="B16" s="232" t="s">
        <v>403</v>
      </c>
      <c r="C16" s="243">
        <f>'Natural Gas'!C16</f>
        <v>214153846.15384617</v>
      </c>
      <c r="D16" s="243">
        <f>C16/AA16</f>
        <v>1.2031964792311636E-2</v>
      </c>
      <c r="E16" s="243">
        <f>C16/AB16</f>
        <v>1.9306132168104499E-2</v>
      </c>
      <c r="F16" s="240">
        <f>'Natural Gas'!F16</f>
        <v>0.96000000000000008</v>
      </c>
      <c r="G16" s="240"/>
      <c r="H16" s="240">
        <f>'Natural Gas'!H16</f>
        <v>4.0000000000000008E-2</v>
      </c>
      <c r="I16" s="325"/>
      <c r="J16" s="430">
        <f t="shared" si="2"/>
        <v>1</v>
      </c>
      <c r="K16" s="299">
        <f>'Natural Gas'!K16</f>
        <v>0.62399999999999989</v>
      </c>
      <c r="L16" s="300">
        <f>'Natural Gas'!L16</f>
        <v>0.33599999999999997</v>
      </c>
      <c r="M16" s="240">
        <f>'Natural Gas'!M16</f>
        <v>0.04</v>
      </c>
      <c r="N16" s="430">
        <f>SUM(K16:M16)</f>
        <v>0.99999999999999989</v>
      </c>
      <c r="O16" s="677">
        <f>'Natural Gas'!O16</f>
        <v>205587692.30769232</v>
      </c>
      <c r="P16" s="243">
        <f>O16/AA16</f>
        <v>1.155068620061917E-2</v>
      </c>
      <c r="Q16" s="243">
        <f>O16/AB16</f>
        <v>1.8533886881380319E-2</v>
      </c>
      <c r="R16" s="240">
        <f>'Natural Gas'!R16</f>
        <v>1</v>
      </c>
      <c r="S16" s="240"/>
      <c r="T16" s="440"/>
      <c r="U16" s="240"/>
      <c r="V16" s="430">
        <f>SUM(R16:U16)</f>
        <v>1</v>
      </c>
      <c r="W16" s="299">
        <f>'Natural Gas'!W16</f>
        <v>0.64999999999999991</v>
      </c>
      <c r="X16" s="300">
        <f>'Natural Gas'!X16</f>
        <v>0.35</v>
      </c>
      <c r="Y16" s="240"/>
      <c r="Z16" s="430">
        <f>SUM(W16:Y16)</f>
        <v>0.99999999999999989</v>
      </c>
      <c r="AA16" s="706">
        <f>'Natural Gas'!AA16</f>
        <v>17798742753.19434</v>
      </c>
      <c r="AB16" s="707">
        <f>unconv_ng_frac*'Natural Gas'!AB16</f>
        <v>11092529787.382683</v>
      </c>
      <c r="AD16" s="16" t="s">
        <v>654</v>
      </c>
      <c r="AE16" s="18">
        <f>G13*C13</f>
        <v>64341187.084067248</v>
      </c>
      <c r="AF16" s="18">
        <f>S13*O13</f>
        <v>2056119155.4954581</v>
      </c>
    </row>
    <row r="17" spans="1:32" ht="15" customHeight="1" thickTop="1" thickBot="1">
      <c r="A17" s="232"/>
      <c r="B17" s="232" t="s">
        <v>536</v>
      </c>
      <c r="C17" s="243">
        <f>'Natural Gas'!C19</f>
        <v>104560447.22152855</v>
      </c>
      <c r="D17" s="243">
        <f>C17/AA17</f>
        <v>6.4240468707711055E-3</v>
      </c>
      <c r="E17" s="243">
        <f>C17/AB17</f>
        <v>9.4262038710467965E-3</v>
      </c>
      <c r="F17" s="326"/>
      <c r="G17" s="240"/>
      <c r="H17" s="240">
        <f>'Natural Gas'!H19</f>
        <v>5.8149385877007138E-2</v>
      </c>
      <c r="I17" s="240">
        <f>'Natural Gas'!I19</f>
        <v>0.94185061412299298</v>
      </c>
      <c r="J17" s="430">
        <f t="shared" si="2"/>
        <v>1.0000000000000002</v>
      </c>
      <c r="K17" s="299">
        <f>'Natural Gas'!K19</f>
        <v>1</v>
      </c>
      <c r="L17" s="300"/>
      <c r="M17" s="240"/>
      <c r="N17" s="430">
        <f>SUM(K17:M17)</f>
        <v>1</v>
      </c>
      <c r="O17" s="677">
        <f>'Natural Gas'!O19</f>
        <v>109280321.42857145</v>
      </c>
      <c r="P17" s="243">
        <f>O17/AA17</f>
        <v>6.714029306155566E-3</v>
      </c>
      <c r="Q17" s="243">
        <f>O17/AB17</f>
        <v>9.8517041218923324E-3</v>
      </c>
      <c r="R17" s="240"/>
      <c r="S17" s="240"/>
      <c r="T17" s="240">
        <f>'Natural Gas'!T19</f>
        <v>9.8828406238347058E-2</v>
      </c>
      <c r="U17" s="240">
        <f>'Natural Gas'!U19</f>
        <v>0.90117159376165301</v>
      </c>
      <c r="V17" s="430">
        <f>SUM(R17:U17)</f>
        <v>1</v>
      </c>
      <c r="W17" s="299">
        <f>'Natural Gas'!W19</f>
        <v>1</v>
      </c>
      <c r="X17" s="300"/>
      <c r="Y17" s="240"/>
      <c r="Z17" s="430">
        <f>SUM(W17:Y17)</f>
        <v>1</v>
      </c>
      <c r="AA17" s="706">
        <f>'Natural Gas'!AA19</f>
        <v>16276414124.135696</v>
      </c>
      <c r="AB17" s="707">
        <f>unconv_ng_frac*'Natural Gas'!AB19</f>
        <v>11092529787.382683</v>
      </c>
      <c r="AD17" s="16" t="s">
        <v>889</v>
      </c>
      <c r="AE17" s="18">
        <f>H13*C13</f>
        <v>48284018.797279373</v>
      </c>
      <c r="AF17" s="18">
        <f>T13*O13</f>
        <v>2389853978.8302011</v>
      </c>
    </row>
    <row r="18" spans="1:32" ht="15" customHeight="1" thickTop="1" thickBot="1">
      <c r="A18" s="245" t="s">
        <v>69</v>
      </c>
      <c r="B18" s="232" t="s">
        <v>537</v>
      </c>
      <c r="C18" s="243">
        <f>'Natural Gas'!C20</f>
        <v>106612443.52465272</v>
      </c>
      <c r="D18" s="243">
        <f>C18/AA18</f>
        <v>7.0032476227277027E-2</v>
      </c>
      <c r="E18" s="243">
        <f>C18/AB18</f>
        <v>9.6111928990193184E-3</v>
      </c>
      <c r="F18" s="240">
        <f>'Natural Gas'!F20</f>
        <v>0.38318866175440636</v>
      </c>
      <c r="G18" s="240">
        <f>'Natural Gas'!G20</f>
        <v>0.38368834887874537</v>
      </c>
      <c r="H18" s="240">
        <f>'Natural Gas'!H20</f>
        <v>0.10840650984231957</v>
      </c>
      <c r="I18" s="240">
        <f>'Natural Gas'!I20</f>
        <v>0.1247164795245287</v>
      </c>
      <c r="J18" s="430">
        <f t="shared" si="2"/>
        <v>1</v>
      </c>
      <c r="K18" s="299">
        <f>'Natural Gas'!K20</f>
        <v>1</v>
      </c>
      <c r="L18" s="300"/>
      <c r="M18" s="240"/>
      <c r="N18" s="430">
        <f>SUM(K18:M18)</f>
        <v>1</v>
      </c>
      <c r="O18" s="677">
        <f>'Natural Gas'!O20</f>
        <v>111424945.15135024</v>
      </c>
      <c r="P18" s="243">
        <f>O18/AA18</f>
        <v>7.3193752665777309E-2</v>
      </c>
      <c r="Q18" s="243">
        <f>O18/AB18</f>
        <v>1.004504358222159E-2</v>
      </c>
      <c r="R18" s="240">
        <f>'Natural Gas'!R20</f>
        <v>0.36663854314747985</v>
      </c>
      <c r="S18" s="240">
        <f>'Natural Gas'!S20</f>
        <v>0.36711664852371517</v>
      </c>
      <c r="T18" s="240">
        <f>'Natural Gas'!T20</f>
        <v>0.14691489874848865</v>
      </c>
      <c r="U18" s="240">
        <f>'Natural Gas'!U20</f>
        <v>0.11932990958031627</v>
      </c>
      <c r="V18" s="430">
        <f>SUM(R18:U18)</f>
        <v>1</v>
      </c>
      <c r="W18" s="299">
        <f>'Natural Gas'!W20</f>
        <v>1</v>
      </c>
      <c r="X18" s="300"/>
      <c r="Y18" s="240"/>
      <c r="Z18" s="430">
        <f>SUM(W18:Y18)</f>
        <v>1</v>
      </c>
      <c r="AA18" s="706">
        <f>'Natural Gas'!AA20</f>
        <v>1522328629.0586441</v>
      </c>
      <c r="AB18" s="707">
        <f>unconv_ng_frac*'Natural Gas'!AB20</f>
        <v>11092529787.382683</v>
      </c>
      <c r="AD18" s="16" t="s">
        <v>890</v>
      </c>
      <c r="AE18" s="18">
        <f>I13*C13</f>
        <v>114979828.75853992</v>
      </c>
      <c r="AF18" s="18">
        <f>U13*O13</f>
        <v>114841481.79607354</v>
      </c>
    </row>
    <row r="19" spans="1:32" ht="15" customHeight="1" thickTop="1">
      <c r="A19" s="232"/>
      <c r="B19" s="232"/>
      <c r="C19" s="284"/>
      <c r="D19" s="232"/>
      <c r="E19" s="232"/>
      <c r="F19" s="232"/>
      <c r="G19" s="232"/>
      <c r="H19" s="232"/>
      <c r="I19" s="232"/>
      <c r="J19" s="431"/>
      <c r="K19" s="301"/>
      <c r="L19" s="244"/>
      <c r="M19" s="232"/>
      <c r="N19" s="431"/>
      <c r="O19" s="679"/>
      <c r="P19" s="232"/>
      <c r="Q19" s="232"/>
      <c r="R19" s="232"/>
      <c r="S19" s="232"/>
      <c r="T19" s="232"/>
      <c r="U19" s="232"/>
      <c r="V19" s="431"/>
      <c r="W19" s="301"/>
      <c r="X19" s="244"/>
      <c r="Y19" s="232"/>
      <c r="Z19" s="431"/>
      <c r="AA19" s="706"/>
      <c r="AB19" s="707"/>
    </row>
    <row r="20" spans="1:32" ht="15" customHeight="1" thickBot="1">
      <c r="A20" s="221" t="s">
        <v>66</v>
      </c>
      <c r="B20" s="232"/>
      <c r="C20" s="284"/>
      <c r="D20" s="232"/>
      <c r="E20" s="232"/>
      <c r="F20" s="232"/>
      <c r="G20" s="232"/>
      <c r="H20" s="232"/>
      <c r="I20" s="232"/>
      <c r="J20" s="431"/>
      <c r="K20" s="301"/>
      <c r="L20" s="244"/>
      <c r="M20" s="232"/>
      <c r="N20" s="431"/>
      <c r="O20" s="679"/>
      <c r="P20" s="232"/>
      <c r="Q20" s="232"/>
      <c r="R20" s="232"/>
      <c r="S20" s="232"/>
      <c r="T20" s="232"/>
      <c r="U20" s="232"/>
      <c r="V20" s="431"/>
      <c r="W20" s="301"/>
      <c r="X20" s="244"/>
      <c r="Y20" s="232"/>
      <c r="Z20" s="431"/>
      <c r="AA20" s="706"/>
      <c r="AB20" s="707"/>
      <c r="AD20" s="16" t="s">
        <v>614</v>
      </c>
      <c r="AE20" s="419">
        <f>SUM(C15:C18)</f>
        <v>436601148.41959059</v>
      </c>
      <c r="AF20" s="419">
        <f>SUM(O15:O18)</f>
        <v>436601148.41959059</v>
      </c>
    </row>
    <row r="21" spans="1:32" ht="15" customHeight="1" thickTop="1" thickBot="1">
      <c r="A21" s="232"/>
      <c r="B21" s="232" t="s">
        <v>507</v>
      </c>
      <c r="C21" s="243">
        <f>unconv_ng_frac*'Natural Gas'!C23</f>
        <v>6051572.5360860759</v>
      </c>
      <c r="D21" s="243">
        <f>C21/AA21</f>
        <v>3.4000000000000002E-4</v>
      </c>
      <c r="E21" s="243">
        <f>C21/AB21</f>
        <v>5.4555386842138596E-4</v>
      </c>
      <c r="F21" s="304">
        <f>SUMPRODUCT('Natural Gas'!F19:F20,'Natural Gas'!$C$19:$C$20)/SUM('Natural Gas'!$C$19:$C$20)</f>
        <v>0.19345607959537608</v>
      </c>
      <c r="G21" s="304">
        <f>SUMPRODUCT('Natural Gas'!G19:G20,'Natural Gas'!$C$19:$C$20)/SUM('Natural Gas'!$C$19:$C$20)</f>
        <v>0.19370835092213282</v>
      </c>
      <c r="H21" s="304">
        <f>SUMPRODUCT('Natural Gas'!H19:H20,'Natural Gas'!$C$19:$C$20)/SUM('Natural Gas'!$C$19:$C$20)</f>
        <v>8.3522125585833787E-2</v>
      </c>
      <c r="I21" s="304">
        <f>SUMPRODUCT('Natural Gas'!I19:I20,'Natural Gas'!$C$19:$C$20)/SUM('Natural Gas'!$C$19:$C$20)</f>
        <v>0.52931344389665735</v>
      </c>
      <c r="J21" s="430">
        <f t="shared" si="2"/>
        <v>1</v>
      </c>
      <c r="K21" s="505">
        <f>'Natural Gas'!K23</f>
        <v>1</v>
      </c>
      <c r="L21" s="328"/>
      <c r="M21" s="311"/>
      <c r="N21" s="430">
        <f>SUM(K21:M21)</f>
        <v>1</v>
      </c>
      <c r="O21" s="677">
        <f>unconv_ng_frac*'Natural Gas'!O23</f>
        <v>6051572.5360860759</v>
      </c>
      <c r="P21" s="243">
        <f>O21/AA21</f>
        <v>3.4000000000000002E-4</v>
      </c>
      <c r="Q21" s="243">
        <f>O21/AB21</f>
        <v>5.4555386842138596E-4</v>
      </c>
      <c r="R21" s="304">
        <f>SUMPRODUCT('Natural Gas'!R19:R20,'Natural Gas'!$O$19:$O$20)/SUM('Natural Gas'!$O$19:$O$20)</f>
        <v>0.18510061039157555</v>
      </c>
      <c r="S21" s="304">
        <f>SUMPRODUCT('Natural Gas'!S19:S20,'Natural Gas'!$O$19:$O$20)/SUM('Natural Gas'!$O$19:$O$20)</f>
        <v>0.18534198598785878</v>
      </c>
      <c r="T21" s="304">
        <f>SUMPRODUCT('Natural Gas'!T19:T20,'Natural Gas'!$O$19:$O$20)/SUM('Natural Gas'!$O$19:$O$20)</f>
        <v>0.12310528405595497</v>
      </c>
      <c r="U21" s="304">
        <f>SUMPRODUCT('Natural Gas'!U19:U20,'Natural Gas'!$O$19:$O$20)/SUM('Natural Gas'!$O$19:$O$20)</f>
        <v>0.50645211956461067</v>
      </c>
      <c r="V21" s="430">
        <f>SUM(R21:U21)</f>
        <v>1</v>
      </c>
      <c r="W21" s="505">
        <f>'Natural Gas'!W23</f>
        <v>1</v>
      </c>
      <c r="X21" s="328"/>
      <c r="Y21" s="311"/>
      <c r="Z21" s="430">
        <f>SUM(W21:Y21)</f>
        <v>1</v>
      </c>
      <c r="AA21" s="706">
        <f>unconv_ng_frac*'Natural Gas'!AA23</f>
        <v>17798742753.19434</v>
      </c>
      <c r="AB21" s="707">
        <f>unconv_ng_frac*'Natural Gas'!AB23</f>
        <v>11092529787.382683</v>
      </c>
      <c r="AD21" s="16" t="s">
        <v>82</v>
      </c>
      <c r="AE21" s="419">
        <f>SUM(C21:C24)</f>
        <v>29179784.184383702</v>
      </c>
      <c r="AF21" s="419">
        <f>SUM(O21:O24)</f>
        <v>40749247.61102099</v>
      </c>
    </row>
    <row r="22" spans="1:32" ht="15" customHeight="1" thickTop="1" thickBot="1">
      <c r="A22" s="232"/>
      <c r="B22" s="232" t="s">
        <v>509</v>
      </c>
      <c r="C22" s="243">
        <f>unconv_ng_frac*'Natural Gas'!C25</f>
        <v>23009592.855695654</v>
      </c>
      <c r="D22" s="243">
        <f>C22/AA22</f>
        <v>1.292765066317177E-3</v>
      </c>
      <c r="E22" s="243">
        <f>C22/AB22</f>
        <v>2.0743323026157804E-3</v>
      </c>
      <c r="F22" s="311">
        <f>'Natural Gas'!F25</f>
        <v>1</v>
      </c>
      <c r="G22" s="311"/>
      <c r="H22" s="311"/>
      <c r="I22" s="311"/>
      <c r="J22" s="430">
        <f t="shared" si="2"/>
        <v>1</v>
      </c>
      <c r="K22" s="505">
        <f>'Natural Gas'!K25</f>
        <v>0.4</v>
      </c>
      <c r="L22" s="328">
        <f>'Natural Gas'!L25</f>
        <v>0.6</v>
      </c>
      <c r="M22" s="311"/>
      <c r="N22" s="430">
        <f>SUM(K22:M22)</f>
        <v>1</v>
      </c>
      <c r="O22" s="677">
        <f>unconv_ng_frac*'Natural Gas'!O25</f>
        <v>34514389.283543482</v>
      </c>
      <c r="P22" s="243">
        <f>O22/AA22</f>
        <v>1.9391475994757655E-3</v>
      </c>
      <c r="Q22" s="243">
        <f>O22/AB22</f>
        <v>3.1114984539236707E-3</v>
      </c>
      <c r="R22" s="311">
        <f>'Natural Gas'!R25</f>
        <v>1</v>
      </c>
      <c r="S22" s="311"/>
      <c r="T22" s="311"/>
      <c r="U22" s="311"/>
      <c r="V22" s="430">
        <f>SUM(R22:U22)</f>
        <v>1</v>
      </c>
      <c r="W22" s="505">
        <f>'Natural Gas'!W25</f>
        <v>0.4</v>
      </c>
      <c r="X22" s="328">
        <f>'Natural Gas'!X25</f>
        <v>0.6</v>
      </c>
      <c r="Y22" s="311"/>
      <c r="Z22" s="430">
        <f>SUM(W22:Y22)</f>
        <v>1</v>
      </c>
      <c r="AA22" s="706">
        <f>unconv_ng_frac*'Natural Gas'!AA25</f>
        <v>17798742753.19434</v>
      </c>
      <c r="AB22" s="707">
        <f>unconv_ng_frac*'Natural Gas'!AB25</f>
        <v>11092529787.382683</v>
      </c>
      <c r="AD22" s="16" t="s">
        <v>891</v>
      </c>
      <c r="AE22" s="18">
        <f>SUM(C27:C30)</f>
        <v>54770854.85625197</v>
      </c>
      <c r="AF22" s="419">
        <f>SUM(O27:O30)</f>
        <v>56190204.255287901</v>
      </c>
    </row>
    <row r="23" spans="1:32" ht="15" customHeight="1" thickTop="1" thickBot="1">
      <c r="A23" s="232"/>
      <c r="B23" s="232" t="s">
        <v>510</v>
      </c>
      <c r="C23" s="243">
        <f>unconv_ng_frac*'Natural Gas'!C26</f>
        <v>107778.33131576316</v>
      </c>
      <c r="D23" s="243">
        <f>C23/AA23</f>
        <v>1.1563611172762006E-2</v>
      </c>
      <c r="E23" s="243">
        <f>C23/AB23</f>
        <v>9.7162985704448398E-6</v>
      </c>
      <c r="F23" s="311">
        <f>'Natural Gas'!F26</f>
        <v>1</v>
      </c>
      <c r="G23" s="311"/>
      <c r="H23" s="311"/>
      <c r="I23" s="311"/>
      <c r="J23" s="430">
        <f t="shared" si="2"/>
        <v>1</v>
      </c>
      <c r="K23" s="505"/>
      <c r="L23" s="328">
        <f>'Natural Gas'!L26</f>
        <v>1</v>
      </c>
      <c r="M23" s="311"/>
      <c r="N23" s="430">
        <f>SUM(K23:M23)</f>
        <v>1</v>
      </c>
      <c r="O23" s="677">
        <f>unconv_ng_frac*'Natural Gas'!O26</f>
        <v>172445.33010522107</v>
      </c>
      <c r="P23" s="243">
        <f>O23/AA23</f>
        <v>1.8501777876419209E-2</v>
      </c>
      <c r="Q23" s="243">
        <f>O23/AB23</f>
        <v>1.5546077712711744E-5</v>
      </c>
      <c r="R23" s="311">
        <f>'Natural Gas'!R26</f>
        <v>1</v>
      </c>
      <c r="S23" s="311"/>
      <c r="T23" s="311"/>
      <c r="U23" s="311"/>
      <c r="V23" s="430">
        <f>SUM(R23:U23)</f>
        <v>1</v>
      </c>
      <c r="W23" s="505"/>
      <c r="X23" s="328">
        <f>'Natural Gas'!X26</f>
        <v>1</v>
      </c>
      <c r="Y23" s="311"/>
      <c r="Z23" s="430">
        <f>SUM(W23:Y23)</f>
        <v>1</v>
      </c>
      <c r="AA23" s="706">
        <f>unconv_ng_frac*'Natural Gas'!AA26</f>
        <v>9320473.4840647504</v>
      </c>
      <c r="AB23" s="707">
        <f>unconv_ng_frac*'Natural Gas'!AB26</f>
        <v>11092529787.382683</v>
      </c>
      <c r="AD23" s="18" t="s">
        <v>892</v>
      </c>
      <c r="AE23" s="419">
        <f>C33</f>
        <v>460317930.4213028</v>
      </c>
      <c r="AF23" s="419">
        <f>O33</f>
        <v>8674770742.9593258</v>
      </c>
    </row>
    <row r="24" spans="1:32" ht="15" customHeight="1" thickTop="1" thickBot="1">
      <c r="A24" s="232"/>
      <c r="B24" s="232" t="s">
        <v>511</v>
      </c>
      <c r="C24" s="243">
        <f>unconv_ng_frac*'Natural Gas'!C27</f>
        <v>10840.46128621081</v>
      </c>
      <c r="D24" s="243">
        <f>C24/AA24</f>
        <v>3.189572847499848E-4</v>
      </c>
      <c r="E24" s="243">
        <f>C24/AB24</f>
        <v>9.7727583283494171E-7</v>
      </c>
      <c r="F24" s="311">
        <f>'Natural Gas'!F27</f>
        <v>1</v>
      </c>
      <c r="G24" s="311"/>
      <c r="H24" s="311"/>
      <c r="I24" s="311"/>
      <c r="J24" s="430">
        <f t="shared" si="2"/>
        <v>1</v>
      </c>
      <c r="K24" s="505"/>
      <c r="L24" s="328">
        <f>'Natural Gas'!L27</f>
        <v>1</v>
      </c>
      <c r="M24" s="311"/>
      <c r="N24" s="430">
        <f>SUM(K24:M24)</f>
        <v>1</v>
      </c>
      <c r="O24" s="677">
        <f>unconv_ng_frac*'Natural Gas'!O27</f>
        <v>10840.46128621081</v>
      </c>
      <c r="P24" s="243">
        <f>O24/AA24</f>
        <v>3.189572847499848E-4</v>
      </c>
      <c r="Q24" s="243">
        <f>O24/AB24</f>
        <v>9.7727583283494171E-7</v>
      </c>
      <c r="R24" s="311">
        <f>'Natural Gas'!R27</f>
        <v>1</v>
      </c>
      <c r="S24" s="311"/>
      <c r="T24" s="311"/>
      <c r="U24" s="311"/>
      <c r="V24" s="430">
        <f>SUM(R24:U24)</f>
        <v>1</v>
      </c>
      <c r="W24" s="505"/>
      <c r="X24" s="328">
        <f>'Natural Gas'!X27</f>
        <v>1</v>
      </c>
      <c r="Y24" s="311"/>
      <c r="Z24" s="430">
        <f>SUM(W24:Y24)</f>
        <v>1</v>
      </c>
      <c r="AA24" s="706">
        <f>unconv_ng_frac*'Natural Gas'!AA27</f>
        <v>33987188.267883971</v>
      </c>
      <c r="AB24" s="707">
        <f>unconv_ng_frac*'Natural Gas'!AB27</f>
        <v>11092529787.382683</v>
      </c>
      <c r="AD24" s="18" t="s">
        <v>893</v>
      </c>
    </row>
    <row r="25" spans="1:32" ht="15" customHeight="1" thickTop="1">
      <c r="A25" s="232"/>
      <c r="B25" s="232"/>
      <c r="C25" s="232"/>
      <c r="D25" s="232"/>
      <c r="E25" s="232"/>
      <c r="F25" s="311"/>
      <c r="G25" s="311"/>
      <c r="H25" s="311"/>
      <c r="I25" s="311"/>
      <c r="J25" s="431"/>
      <c r="K25" s="505"/>
      <c r="L25" s="328"/>
      <c r="M25" s="311"/>
      <c r="N25" s="431"/>
      <c r="O25" s="680"/>
      <c r="P25" s="232"/>
      <c r="Q25" s="232"/>
      <c r="R25" s="311"/>
      <c r="S25" s="311"/>
      <c r="T25" s="311"/>
      <c r="U25" s="311"/>
      <c r="V25" s="431"/>
      <c r="W25" s="505"/>
      <c r="X25" s="328"/>
      <c r="Y25" s="311"/>
      <c r="Z25" s="431"/>
      <c r="AA25" s="706"/>
      <c r="AB25" s="707"/>
      <c r="AD25" s="418"/>
    </row>
    <row r="26" spans="1:32" ht="15" customHeight="1" thickBot="1">
      <c r="A26" s="226" t="s">
        <v>67</v>
      </c>
      <c r="B26" s="232"/>
      <c r="C26" s="232"/>
      <c r="D26" s="232"/>
      <c r="E26" s="232"/>
      <c r="F26" s="311"/>
      <c r="G26" s="311"/>
      <c r="H26" s="311"/>
      <c r="I26" s="311"/>
      <c r="J26" s="431"/>
      <c r="K26" s="505"/>
      <c r="L26" s="328"/>
      <c r="M26" s="311"/>
      <c r="N26" s="431"/>
      <c r="O26" s="680"/>
      <c r="P26" s="232"/>
      <c r="Q26" s="232"/>
      <c r="R26" s="311"/>
      <c r="S26" s="311"/>
      <c r="T26" s="311"/>
      <c r="U26" s="311"/>
      <c r="V26" s="431"/>
      <c r="W26" s="505"/>
      <c r="X26" s="328"/>
      <c r="Y26" s="311"/>
      <c r="Z26" s="431"/>
      <c r="AA26" s="706"/>
      <c r="AB26" s="707"/>
      <c r="AD26" s="20"/>
    </row>
    <row r="27" spans="1:32" ht="15" customHeight="1" thickTop="1" thickBot="1">
      <c r="A27" s="232"/>
      <c r="B27" s="232" t="s">
        <v>873</v>
      </c>
      <c r="C27" s="382">
        <f>unconv_ng_frac*'Natural Gas'!C30</f>
        <v>0</v>
      </c>
      <c r="D27" s="306"/>
      <c r="E27" s="306"/>
      <c r="F27" s="77"/>
      <c r="G27" s="77"/>
      <c r="H27" s="77"/>
      <c r="I27" s="77"/>
      <c r="J27" s="435"/>
      <c r="K27" s="506"/>
      <c r="L27" s="72"/>
      <c r="M27" s="77"/>
      <c r="N27" s="435"/>
      <c r="O27" s="677">
        <f>unconv_ng_frac*'Natural Gas'!O30</f>
        <v>1418338.8746509906</v>
      </c>
      <c r="P27" s="243">
        <f>O27/AA27</f>
        <v>8.2181429551690826E-5</v>
      </c>
      <c r="Q27" s="243">
        <f>O27/AB27</f>
        <v>1.2786432868219975E-4</v>
      </c>
      <c r="R27" s="311">
        <f>'Natural Gas'!R30</f>
        <v>1</v>
      </c>
      <c r="S27" s="311"/>
      <c r="T27" s="311"/>
      <c r="U27" s="311"/>
      <c r="V27" s="430">
        <f>SUM(R27:U27)</f>
        <v>1</v>
      </c>
      <c r="W27" s="505">
        <f>'Natural Gas'!W30</f>
        <v>0.4</v>
      </c>
      <c r="X27" s="328">
        <f>'Natural Gas'!X30</f>
        <v>0.6</v>
      </c>
      <c r="Y27" s="311"/>
      <c r="Z27" s="430">
        <f>SUM(W27:Y27)</f>
        <v>1</v>
      </c>
      <c r="AA27" s="706">
        <f>unconv_ng_frac*'Natural Gas'!AA30</f>
        <v>17258629867.942097</v>
      </c>
      <c r="AB27" s="707">
        <f>unconv_ng_frac*'Natural Gas'!AB30</f>
        <v>11092529787.382683</v>
      </c>
      <c r="AD27" s="20"/>
    </row>
    <row r="28" spans="1:32" ht="15" customHeight="1" thickTop="1" thickBot="1">
      <c r="A28" s="232"/>
      <c r="B28" s="232" t="s">
        <v>406</v>
      </c>
      <c r="C28" s="386">
        <f>unconv_ng_frac*'Natural Gas'!C31</f>
        <v>54767169.970223494</v>
      </c>
      <c r="D28" s="383">
        <f>C28/AA28</f>
        <v>0.19544694442152655</v>
      </c>
      <c r="E28" s="385">
        <f>C28/AB28</f>
        <v>4.9373020420029881E-3</v>
      </c>
      <c r="F28" s="311">
        <f>'Natural Gas'!F31</f>
        <v>1</v>
      </c>
      <c r="G28" s="311"/>
      <c r="H28" s="311"/>
      <c r="I28" s="311"/>
      <c r="J28" s="430">
        <f t="shared" si="2"/>
        <v>1</v>
      </c>
      <c r="K28" s="505">
        <f>'Natural Gas'!K31</f>
        <v>0.2</v>
      </c>
      <c r="L28" s="328">
        <f>'Natural Gas'!L31</f>
        <v>0.8</v>
      </c>
      <c r="M28" s="311"/>
      <c r="N28" s="430">
        <f>SUM(K28:M28)</f>
        <v>1</v>
      </c>
      <c r="O28" s="677">
        <f>unconv_ng_frac*'Natural Gas'!O31</f>
        <v>54767169.970223494</v>
      </c>
      <c r="P28" s="243">
        <f>O28/AA28</f>
        <v>0.19544694442152655</v>
      </c>
      <c r="Q28" s="243">
        <f>O28/AB28</f>
        <v>4.9373020420029881E-3</v>
      </c>
      <c r="R28" s="311">
        <f>'Natural Gas'!R31</f>
        <v>1</v>
      </c>
      <c r="S28" s="311"/>
      <c r="T28" s="311"/>
      <c r="U28" s="311"/>
      <c r="V28" s="430">
        <f>SUM(R28:U28)</f>
        <v>1</v>
      </c>
      <c r="W28" s="505">
        <f>'Natural Gas'!W31</f>
        <v>0.2</v>
      </c>
      <c r="X28" s="328">
        <f>'Natural Gas'!X31</f>
        <v>0.8</v>
      </c>
      <c r="Y28" s="311"/>
      <c r="Z28" s="430">
        <f>SUM(W28:Y28)</f>
        <v>1</v>
      </c>
      <c r="AA28" s="706">
        <f>unconv_ng_frac*'Natural Gas'!AA31</f>
        <v>280215022.71279013</v>
      </c>
      <c r="AB28" s="707">
        <f>unconv_ng_frac*'Natural Gas'!AB31</f>
        <v>11092529787.382683</v>
      </c>
    </row>
    <row r="29" spans="1:32" ht="15" customHeight="1" thickTop="1" thickBot="1">
      <c r="A29" s="232"/>
      <c r="B29" s="232" t="s">
        <v>512</v>
      </c>
      <c r="C29" s="243">
        <f>unconv_ng_frac*'Natural Gas'!C32</f>
        <v>3684.8860284767975</v>
      </c>
      <c r="D29" s="377">
        <f>C29/AA29</f>
        <v>1.0841985513578988E-4</v>
      </c>
      <c r="E29" s="377">
        <f>C29/AB29</f>
        <v>3.3219527908486762E-7</v>
      </c>
      <c r="F29" s="311"/>
      <c r="G29" s="311"/>
      <c r="H29" s="311">
        <f>'Natural Gas'!H32</f>
        <v>1</v>
      </c>
      <c r="I29" s="311"/>
      <c r="J29" s="430">
        <f t="shared" si="2"/>
        <v>1</v>
      </c>
      <c r="K29" s="505"/>
      <c r="L29" s="328">
        <f>'Natural Gas'!L32</f>
        <v>1</v>
      </c>
      <c r="M29" s="311"/>
      <c r="N29" s="430">
        <f>SUM(K29:M29)</f>
        <v>1</v>
      </c>
      <c r="O29" s="677">
        <f>unconv_ng_frac*'Natural Gas'!O32</f>
        <v>3684.8860284767975</v>
      </c>
      <c r="P29" s="243">
        <f>O29/AA29</f>
        <v>1.0841985513578988E-4</v>
      </c>
      <c r="Q29" s="243">
        <f>O29/AB29</f>
        <v>3.3219527908486762E-7</v>
      </c>
      <c r="R29" s="311"/>
      <c r="S29" s="311"/>
      <c r="T29" s="311">
        <f>'Natural Gas'!T32</f>
        <v>1</v>
      </c>
      <c r="U29" s="311"/>
      <c r="V29" s="430">
        <f>SUM(R29:U29)</f>
        <v>1</v>
      </c>
      <c r="W29" s="505"/>
      <c r="X29" s="328">
        <f>'Natural Gas'!X32</f>
        <v>1</v>
      </c>
      <c r="Y29" s="311"/>
      <c r="Z29" s="430">
        <f>SUM(W29:Y29)</f>
        <v>1</v>
      </c>
      <c r="AA29" s="706">
        <f>unconv_ng_frac*'Natural Gas'!AA32</f>
        <v>33987188.267883971</v>
      </c>
      <c r="AB29" s="707">
        <f>unconv_ng_frac*'Natural Gas'!AB32</f>
        <v>11092529787.382683</v>
      </c>
    </row>
    <row r="30" spans="1:32" ht="15" customHeight="1" thickTop="1" thickBot="1">
      <c r="A30" s="232"/>
      <c r="B30" s="232" t="s">
        <v>535</v>
      </c>
      <c r="C30" s="382">
        <f>conv_ng_frac*'Natural Gas'!C34</f>
        <v>0</v>
      </c>
      <c r="D30" s="306"/>
      <c r="E30" s="306"/>
      <c r="F30" s="311"/>
      <c r="G30" s="311"/>
      <c r="H30" s="311"/>
      <c r="I30" s="311"/>
      <c r="J30" s="431"/>
      <c r="K30" s="505"/>
      <c r="L30" s="328"/>
      <c r="M30" s="311"/>
      <c r="N30" s="431"/>
      <c r="O30" s="677">
        <f>unconv_ng_frac*'Natural Gas'!O33</f>
        <v>1010.524384939271</v>
      </c>
      <c r="P30" s="243">
        <f>O30/AA30</f>
        <v>1.0841985513578988E-4</v>
      </c>
      <c r="Q30" s="243">
        <f>O30/AB30</f>
        <v>9.1099542152115995E-8</v>
      </c>
      <c r="R30" s="311"/>
      <c r="S30" s="311"/>
      <c r="T30" s="311">
        <f>'Natural Gas'!T33</f>
        <v>1</v>
      </c>
      <c r="U30" s="311"/>
      <c r="V30" s="430">
        <f>SUM(R30:U30)</f>
        <v>1</v>
      </c>
      <c r="W30" s="505"/>
      <c r="X30" s="328">
        <f>'Natural Gas'!X33</f>
        <v>1</v>
      </c>
      <c r="Y30" s="311"/>
      <c r="Z30" s="430">
        <f>SUM(W30:Y30)</f>
        <v>1</v>
      </c>
      <c r="AA30" s="706">
        <f>unconv_ng_frac*'Natural Gas'!AA33</f>
        <v>9320473.4840647504</v>
      </c>
      <c r="AB30" s="707">
        <f>unconv_ng_frac*'Natural Gas'!AB33</f>
        <v>11092529787.382683</v>
      </c>
    </row>
    <row r="31" spans="1:32" ht="15" customHeight="1" thickTop="1">
      <c r="A31" s="232"/>
      <c r="B31" s="232"/>
      <c r="C31" s="232"/>
      <c r="D31" s="232"/>
      <c r="E31" s="232"/>
      <c r="F31" s="311"/>
      <c r="G31" s="311"/>
      <c r="H31" s="311"/>
      <c r="I31" s="311"/>
      <c r="J31" s="431"/>
      <c r="K31" s="505"/>
      <c r="L31" s="328"/>
      <c r="M31" s="311"/>
      <c r="N31" s="431"/>
      <c r="O31" s="680"/>
      <c r="P31" s="232"/>
      <c r="Q31" s="232"/>
      <c r="R31" s="311"/>
      <c r="S31" s="311"/>
      <c r="T31" s="311"/>
      <c r="U31" s="311"/>
      <c r="V31" s="431"/>
      <c r="W31" s="505"/>
      <c r="X31" s="328"/>
      <c r="Y31" s="311"/>
      <c r="Z31" s="431"/>
      <c r="AA31" s="706"/>
      <c r="AB31" s="707"/>
    </row>
    <row r="32" spans="1:32" ht="15" customHeight="1" thickBot="1">
      <c r="A32" s="222" t="s">
        <v>68</v>
      </c>
      <c r="B32" s="232"/>
      <c r="C32" s="232"/>
      <c r="D32" s="232"/>
      <c r="E32" s="232"/>
      <c r="F32" s="311"/>
      <c r="G32" s="311"/>
      <c r="H32" s="311"/>
      <c r="I32" s="311"/>
      <c r="J32" s="431"/>
      <c r="K32" s="505"/>
      <c r="L32" s="311"/>
      <c r="M32" s="311"/>
      <c r="N32" s="431"/>
      <c r="O32" s="680"/>
      <c r="P32" s="232"/>
      <c r="Q32" s="232"/>
      <c r="R32" s="311"/>
      <c r="S32" s="311"/>
      <c r="T32" s="311"/>
      <c r="U32" s="311"/>
      <c r="V32" s="431"/>
      <c r="W32" s="505"/>
      <c r="X32" s="311"/>
      <c r="Y32" s="311"/>
      <c r="Z32" s="431"/>
      <c r="AA32" s="706"/>
      <c r="AB32" s="707"/>
    </row>
    <row r="33" spans="1:28" ht="15" customHeight="1" thickTop="1" thickBot="1">
      <c r="A33" s="232"/>
      <c r="B33" s="232" t="s">
        <v>487</v>
      </c>
      <c r="C33" s="243">
        <f>unconv_ng_frac*'Natural Gas'!C36</f>
        <v>460317930.4213028</v>
      </c>
      <c r="D33" s="243">
        <f>C33/AA33</f>
        <v>9.9707812002127319E-2</v>
      </c>
      <c r="E33" s="243">
        <f>C33/AB33</f>
        <v>4.1498011656898717E-2</v>
      </c>
      <c r="F33" s="311">
        <f>'Natural Gas'!F36</f>
        <v>0.90687326983458383</v>
      </c>
      <c r="G33" s="311">
        <f>'Natural Gas'!G36</f>
        <v>4.8364386982140371E-2</v>
      </c>
      <c r="H33" s="311">
        <f>'Natural Gas'!H36</f>
        <v>4.4762343183275773E-2</v>
      </c>
      <c r="I33" s="311"/>
      <c r="J33" s="430">
        <f t="shared" si="2"/>
        <v>1</v>
      </c>
      <c r="K33" s="505">
        <f>'Natural Gas'!K36</f>
        <v>0.28336653029469272</v>
      </c>
      <c r="L33" s="311">
        <f>'Natural Gas'!L36</f>
        <v>0.59113129219625604</v>
      </c>
      <c r="M33" s="311">
        <f>'Natural Gas'!M36</f>
        <v>0.12550217750905127</v>
      </c>
      <c r="N33" s="430">
        <f>SUM(K33:M33)</f>
        <v>1</v>
      </c>
      <c r="O33" s="677">
        <f>unconv_ng_frac*'Natural Gas'!O36</f>
        <v>8674770742.9593258</v>
      </c>
      <c r="P33" s="243">
        <f>O33/AA33</f>
        <v>1.8790109036354725</v>
      </c>
      <c r="Q33" s="243">
        <f>O33/AB33</f>
        <v>0.78203718261153887</v>
      </c>
      <c r="R33" s="311">
        <f>'Natural Gas'!R36</f>
        <v>0.49554564142483565</v>
      </c>
      <c r="S33" s="311">
        <f>'Natural Gas'!S36</f>
        <v>0.23217807735519211</v>
      </c>
      <c r="T33" s="311">
        <f>'Natural Gas'!T36</f>
        <v>0.27227628121997227</v>
      </c>
      <c r="U33" s="311"/>
      <c r="V33" s="430">
        <f>SUM(R33:U33)</f>
        <v>1</v>
      </c>
      <c r="W33" s="505">
        <f>'Natural Gas'!W36</f>
        <v>1.907799125033828E-2</v>
      </c>
      <c r="X33" s="311">
        <f>'Natural Gas'!X36</f>
        <v>0.96409172687585432</v>
      </c>
      <c r="Y33" s="311">
        <f>'Natural Gas'!Y36</f>
        <v>1.6830281873807425E-2</v>
      </c>
      <c r="Z33" s="430">
        <f>SUM(W33:Y33)</f>
        <v>1</v>
      </c>
      <c r="AA33" s="706">
        <f>unconv_ng_frac*'Natural Gas'!AA36</f>
        <v>4616668655.9271975</v>
      </c>
      <c r="AB33" s="707">
        <f>unconv_ng_frac*'Natural Gas'!AB36</f>
        <v>11092529787.382683</v>
      </c>
    </row>
    <row r="34" spans="1:28" s="17" customFormat="1" ht="15" customHeight="1" thickTop="1">
      <c r="A34" s="244"/>
      <c r="B34" s="244"/>
      <c r="C34" s="327"/>
      <c r="D34" s="327"/>
      <c r="E34" s="327"/>
      <c r="F34" s="328"/>
      <c r="G34" s="328"/>
      <c r="H34" s="328"/>
      <c r="I34" s="328"/>
      <c r="J34" s="434"/>
      <c r="K34" s="505"/>
      <c r="L34" s="328"/>
      <c r="M34" s="328"/>
      <c r="N34" s="434"/>
      <c r="O34" s="692"/>
      <c r="P34" s="327"/>
      <c r="Q34" s="327"/>
      <c r="R34" s="328"/>
      <c r="S34" s="328"/>
      <c r="T34" s="328"/>
      <c r="U34" s="328"/>
      <c r="V34" s="398"/>
      <c r="W34" s="505"/>
      <c r="X34" s="328"/>
      <c r="Y34" s="328"/>
      <c r="Z34" s="398"/>
      <c r="AA34" s="706"/>
      <c r="AB34" s="707"/>
    </row>
    <row r="35" spans="1:28" s="17" customFormat="1" ht="15" customHeight="1" thickBot="1">
      <c r="A35" s="257" t="s">
        <v>413</v>
      </c>
      <c r="B35" s="244"/>
      <c r="C35" s="306"/>
      <c r="D35" s="306"/>
      <c r="E35" s="306"/>
      <c r="F35" s="328"/>
      <c r="G35" s="328"/>
      <c r="H35" s="328"/>
      <c r="I35" s="328"/>
      <c r="J35" s="434"/>
      <c r="K35" s="505"/>
      <c r="L35" s="328"/>
      <c r="M35" s="328"/>
      <c r="N35" s="434"/>
      <c r="O35" s="693"/>
      <c r="P35" s="306"/>
      <c r="Q35" s="306"/>
      <c r="R35" s="328"/>
      <c r="S35" s="328"/>
      <c r="T35" s="328"/>
      <c r="U35" s="328"/>
      <c r="V35" s="434"/>
      <c r="W35" s="505"/>
      <c r="X35" s="328"/>
      <c r="Y35" s="328"/>
      <c r="Z35" s="434"/>
      <c r="AA35" s="706"/>
      <c r="AB35" s="707"/>
    </row>
    <row r="36" spans="1:28" ht="15" customHeight="1" thickTop="1" thickBot="1">
      <c r="A36" s="232"/>
      <c r="B36" s="232" t="s">
        <v>413</v>
      </c>
      <c r="C36" s="324">
        <f>unconv_ng_frac*'Natural Gas'!C39</f>
        <v>-525075592.91754502</v>
      </c>
      <c r="D36" s="324">
        <f>C36/AA36</f>
        <v>-3.7999999999999999E-2</v>
      </c>
      <c r="E36" s="324">
        <f>C36/AB36</f>
        <v>-4.7335964201313023E-2</v>
      </c>
      <c r="F36" s="311">
        <f>'Natural Gas'!F39</f>
        <v>1</v>
      </c>
      <c r="G36" s="311"/>
      <c r="H36" s="311"/>
      <c r="I36" s="311"/>
      <c r="J36" s="430">
        <f t="shared" si="2"/>
        <v>1</v>
      </c>
      <c r="K36" s="505"/>
      <c r="L36" s="311">
        <f>'Natural Gas'!L39</f>
        <v>1</v>
      </c>
      <c r="M36" s="311"/>
      <c r="N36" s="430">
        <f>SUM(K36:M36)</f>
        <v>1</v>
      </c>
      <c r="O36" s="694">
        <f>unconv_ng_frac*'Natural Gas'!O39</f>
        <v>-525075592.91754502</v>
      </c>
      <c r="P36" s="324">
        <f>O36/AA36</f>
        <v>-3.7999999999999999E-2</v>
      </c>
      <c r="Q36" s="324">
        <f>O36/AB36</f>
        <v>-4.7335964201313023E-2</v>
      </c>
      <c r="R36" s="311">
        <f>'Natural Gas'!R39</f>
        <v>1</v>
      </c>
      <c r="S36" s="311"/>
      <c r="T36" s="311"/>
      <c r="U36" s="311"/>
      <c r="V36" s="430">
        <f>SUM(R36:U36)</f>
        <v>1</v>
      </c>
      <c r="W36" s="505"/>
      <c r="X36" s="311">
        <f>'Natural Gas'!X39</f>
        <v>1</v>
      </c>
      <c r="Y36" s="311"/>
      <c r="Z36" s="427">
        <f>SUM(W36:Y36)</f>
        <v>1</v>
      </c>
      <c r="AA36" s="709">
        <f>unconv_ng_frac*'Natural Gas'!AA39</f>
        <v>13817778760.988028</v>
      </c>
      <c r="AB36" s="710">
        <f>unconv_ng_frac*'Natural Gas'!AB39</f>
        <v>11092529787.382683</v>
      </c>
    </row>
    <row r="37" spans="1:28" ht="15" customHeight="1" thickTop="1">
      <c r="J37" s="433"/>
      <c r="K37" s="17"/>
      <c r="N37" s="433"/>
      <c r="O37" s="695"/>
      <c r="V37" s="433"/>
      <c r="Z37" s="433"/>
    </row>
    <row r="38" spans="1:28" ht="15" customHeight="1">
      <c r="J38" s="433"/>
      <c r="N38" s="433"/>
      <c r="V38" s="433"/>
      <c r="Z38" s="433"/>
    </row>
    <row r="39" spans="1:28" ht="15" customHeight="1">
      <c r="J39" s="433"/>
      <c r="N39" s="433"/>
      <c r="V39" s="433"/>
      <c r="Z39" s="433"/>
    </row>
    <row r="40" spans="1:28" ht="15" customHeight="1"/>
    <row r="41" spans="1:28" ht="15" customHeight="1"/>
    <row r="42" spans="1:28" ht="15" customHeight="1"/>
    <row r="43" spans="1:28" ht="15" customHeight="1"/>
    <row r="44" spans="1:28" ht="15" customHeight="1"/>
    <row r="45" spans="1:28" ht="15" customHeight="1"/>
    <row r="46" spans="1:28" ht="15" customHeight="1"/>
    <row r="47" spans="1:28" ht="15" customHeight="1"/>
    <row r="48" spans="1:28" ht="15" customHeight="1"/>
    <row r="49" spans="2:2" ht="15" customHeight="1"/>
    <row r="50" spans="2:2" ht="15" customHeight="1">
      <c r="B50" s="14"/>
    </row>
    <row r="51" spans="2:2" ht="15" customHeight="1"/>
    <row r="52" spans="2:2" ht="15" customHeight="1"/>
    <row r="53" spans="2:2" ht="15" customHeight="1"/>
    <row r="54" spans="2:2" ht="15" customHeight="1"/>
    <row r="55" spans="2:2" ht="15" customHeight="1"/>
    <row r="56" spans="2:2" ht="15" customHeight="1"/>
    <row r="57" spans="2:2" ht="15" customHeight="1"/>
    <row r="58" spans="2:2" ht="15" customHeight="1"/>
    <row r="59" spans="2:2" ht="15" customHeight="1"/>
    <row r="60" spans="2:2" ht="15" customHeight="1"/>
    <row r="61" spans="2:2" ht="15" customHeight="1"/>
    <row r="62" spans="2:2" ht="15" customHeight="1"/>
    <row r="63" spans="2:2" ht="15" customHeight="1"/>
    <row r="64" spans="2:2"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L51"/>
  <sheetViews>
    <sheetView workbookViewId="0"/>
  </sheetViews>
  <sheetFormatPr baseColWidth="10" defaultRowHeight="13"/>
  <cols>
    <col min="1" max="1" width="2.83203125" style="80" customWidth="1"/>
    <col min="2" max="2" width="40.83203125" style="80" customWidth="1"/>
    <col min="3" max="3" width="25.83203125" style="10" customWidth="1"/>
    <col min="4" max="5" width="25.83203125" style="80" customWidth="1"/>
    <col min="6" max="6" width="63.5" style="80" customWidth="1"/>
    <col min="7" max="8" width="10.83203125" style="80"/>
    <col min="9" max="9" width="10.83203125" style="80" customWidth="1"/>
    <col min="10" max="16384" width="10.83203125" style="80"/>
  </cols>
  <sheetData>
    <row r="1" spans="1:12" ht="17" customHeight="1">
      <c r="A1" s="115"/>
      <c r="B1" s="115"/>
      <c r="C1" s="73"/>
      <c r="D1" s="115"/>
      <c r="E1" s="115"/>
      <c r="F1" s="115"/>
    </row>
    <row r="2" spans="1:12" ht="32">
      <c r="A2" s="115"/>
      <c r="B2" s="93"/>
      <c r="C2" s="94" t="s">
        <v>776</v>
      </c>
      <c r="D2" s="94" t="s">
        <v>774</v>
      </c>
      <c r="E2" s="94" t="s">
        <v>775</v>
      </c>
      <c r="F2" s="73"/>
    </row>
    <row r="3" spans="1:12" ht="16">
      <c r="A3" s="115"/>
      <c r="B3" s="95" t="s">
        <v>761</v>
      </c>
      <c r="C3" s="96"/>
      <c r="D3" s="96"/>
      <c r="E3" s="97"/>
      <c r="F3" s="73"/>
    </row>
    <row r="4" spans="1:12" ht="16">
      <c r="A4" s="115"/>
      <c r="B4" s="98" t="s">
        <v>9</v>
      </c>
      <c r="C4" s="99">
        <v>8525080938</v>
      </c>
      <c r="D4" s="99">
        <v>12114697560</v>
      </c>
      <c r="E4" s="99">
        <f>D4-C4</f>
        <v>3589616622</v>
      </c>
      <c r="F4" s="73"/>
      <c r="H4" s="465"/>
    </row>
    <row r="5" spans="1:12" ht="16">
      <c r="A5" s="115"/>
      <c r="B5" s="98" t="s">
        <v>8</v>
      </c>
      <c r="C5" s="99">
        <v>7545888272</v>
      </c>
      <c r="D5" s="99">
        <v>205838024360</v>
      </c>
      <c r="E5" s="99">
        <f>D5-C5</f>
        <v>198292136088</v>
      </c>
      <c r="F5" s="73"/>
      <c r="H5" s="465"/>
    </row>
    <row r="6" spans="1:12" ht="16" customHeight="1">
      <c r="A6" s="115"/>
      <c r="B6" s="98" t="s">
        <v>10</v>
      </c>
      <c r="C6" s="99">
        <v>316468088</v>
      </c>
      <c r="D6" s="99">
        <v>1658282724</v>
      </c>
      <c r="E6" s="99">
        <f>D6-C6</f>
        <v>1341814636</v>
      </c>
      <c r="F6" s="73"/>
      <c r="G6" s="75"/>
      <c r="H6" s="465"/>
      <c r="I6" s="208"/>
      <c r="J6" s="208"/>
    </row>
    <row r="7" spans="1:12" ht="16" customHeight="1">
      <c r="A7" s="115"/>
      <c r="B7" s="100" t="s">
        <v>48</v>
      </c>
      <c r="C7" s="101">
        <f>SUM(C4:C6)</f>
        <v>16387437298</v>
      </c>
      <c r="D7" s="101">
        <v>219610650474</v>
      </c>
      <c r="E7" s="101">
        <f>D7-C7</f>
        <v>203223213176</v>
      </c>
      <c r="F7" s="73"/>
      <c r="G7" s="209"/>
      <c r="H7" s="465"/>
      <c r="I7" s="211"/>
      <c r="J7" s="208"/>
    </row>
    <row r="8" spans="1:12" ht="16" customHeight="1">
      <c r="A8" s="115"/>
      <c r="B8" s="98"/>
      <c r="C8" s="99"/>
      <c r="D8" s="99"/>
      <c r="E8" s="99"/>
      <c r="F8" s="90"/>
      <c r="G8" s="209"/>
      <c r="H8" s="465"/>
      <c r="I8" s="208"/>
      <c r="J8" s="208"/>
    </row>
    <row r="9" spans="1:12" ht="16" customHeight="1">
      <c r="A9" s="115"/>
      <c r="B9" s="102" t="s">
        <v>762</v>
      </c>
      <c r="C9" s="103"/>
      <c r="D9" s="103"/>
      <c r="E9" s="103"/>
      <c r="F9" s="73"/>
      <c r="G9" s="75"/>
      <c r="H9" s="465"/>
      <c r="I9" s="208"/>
      <c r="J9" s="208"/>
    </row>
    <row r="10" spans="1:12" ht="16" customHeight="1">
      <c r="A10" s="115"/>
      <c r="B10" s="104" t="s">
        <v>0</v>
      </c>
      <c r="C10" s="99">
        <v>13254133424</v>
      </c>
      <c r="D10" s="99">
        <v>179801639595</v>
      </c>
      <c r="E10" s="99">
        <f>D10-C10</f>
        <v>166547506171</v>
      </c>
      <c r="F10" s="73"/>
      <c r="G10" s="75"/>
      <c r="H10" s="465"/>
      <c r="I10" s="208"/>
      <c r="J10" s="208"/>
    </row>
    <row r="11" spans="1:12" ht="16" customHeight="1">
      <c r="A11" s="115"/>
      <c r="B11" s="104" t="s">
        <v>7</v>
      </c>
      <c r="C11" s="99">
        <v>487079207</v>
      </c>
      <c r="D11" s="99">
        <v>14699543653</v>
      </c>
      <c r="E11" s="99">
        <f>D11-C11</f>
        <v>14212464446</v>
      </c>
      <c r="F11" s="73"/>
      <c r="H11" s="465"/>
      <c r="I11" s="208"/>
      <c r="J11" s="208"/>
      <c r="K11" s="85"/>
    </row>
    <row r="12" spans="1:12" ht="16" customHeight="1">
      <c r="A12" s="115"/>
      <c r="B12" s="104" t="s">
        <v>1</v>
      </c>
      <c r="C12" s="99">
        <v>828463827</v>
      </c>
      <c r="D12" s="99">
        <v>21808650473</v>
      </c>
      <c r="E12" s="99">
        <f>D12-C12</f>
        <v>20980186646</v>
      </c>
      <c r="F12" s="73"/>
      <c r="H12" s="465"/>
      <c r="I12" s="208"/>
      <c r="J12" s="208"/>
      <c r="K12" s="85"/>
    </row>
    <row r="13" spans="1:12" ht="16">
      <c r="A13" s="115"/>
      <c r="B13" s="104" t="s">
        <v>13</v>
      </c>
      <c r="C13" s="99">
        <v>1817760839</v>
      </c>
      <c r="D13" s="99">
        <v>3301170923</v>
      </c>
      <c r="E13" s="99">
        <f>D13-C13</f>
        <v>1483410084</v>
      </c>
      <c r="F13" s="73"/>
      <c r="H13" s="465"/>
      <c r="J13" s="85"/>
      <c r="K13" s="85"/>
    </row>
    <row r="14" spans="1:12" ht="16">
      <c r="A14" s="115"/>
      <c r="B14" s="105" t="s">
        <v>48</v>
      </c>
      <c r="C14" s="101">
        <f>SUM(C10:C13)</f>
        <v>16387437297</v>
      </c>
      <c r="D14" s="101">
        <v>219610650474</v>
      </c>
      <c r="E14" s="101">
        <f>D14-C14</f>
        <v>203223213177</v>
      </c>
      <c r="F14" s="73"/>
      <c r="H14" s="465"/>
      <c r="I14" s="75"/>
      <c r="J14" s="85"/>
      <c r="K14" s="85"/>
    </row>
    <row r="15" spans="1:12" ht="16">
      <c r="A15" s="115"/>
      <c r="B15" s="98"/>
      <c r="C15" s="99"/>
      <c r="D15" s="99"/>
      <c r="E15" s="99"/>
      <c r="F15" s="90"/>
      <c r="H15" s="465"/>
      <c r="I15" s="75"/>
      <c r="J15" s="85"/>
      <c r="K15" s="85"/>
    </row>
    <row r="16" spans="1:12" ht="16">
      <c r="A16" s="115"/>
      <c r="B16" s="106" t="s">
        <v>771</v>
      </c>
      <c r="C16" s="107"/>
      <c r="D16" s="107"/>
      <c r="E16" s="107"/>
      <c r="F16" s="114"/>
      <c r="G16" s="171"/>
      <c r="H16" s="465"/>
      <c r="I16" s="75"/>
      <c r="J16" s="86"/>
      <c r="K16" s="86"/>
      <c r="L16" s="29"/>
    </row>
    <row r="17" spans="1:12" ht="16">
      <c r="A17" s="115"/>
      <c r="B17" s="98" t="s">
        <v>764</v>
      </c>
      <c r="C17" s="99">
        <v>10335405494</v>
      </c>
      <c r="D17" s="99">
        <v>13489543126</v>
      </c>
      <c r="E17" s="99">
        <f t="shared" ref="E17:E24" si="0">D17-C17</f>
        <v>3154137632</v>
      </c>
      <c r="F17" s="73"/>
      <c r="H17" s="465"/>
      <c r="I17" s="75"/>
      <c r="J17" s="86"/>
      <c r="K17" s="86"/>
      <c r="L17" s="29"/>
    </row>
    <row r="18" spans="1:12" ht="16">
      <c r="A18" s="115"/>
      <c r="B18" s="98" t="s">
        <v>765</v>
      </c>
      <c r="C18" s="99">
        <v>127825520</v>
      </c>
      <c r="D18" s="99">
        <v>838575819</v>
      </c>
      <c r="E18" s="99">
        <f t="shared" si="0"/>
        <v>710750299</v>
      </c>
      <c r="F18" s="73"/>
      <c r="H18" s="465"/>
      <c r="J18" s="86"/>
      <c r="K18" s="86"/>
      <c r="L18" s="29"/>
    </row>
    <row r="19" spans="1:12" ht="16">
      <c r="A19" s="115"/>
      <c r="B19" s="98" t="s">
        <v>766</v>
      </c>
      <c r="C19" s="99">
        <v>234096560</v>
      </c>
      <c r="D19" s="99">
        <v>242918642</v>
      </c>
      <c r="E19" s="99">
        <f t="shared" si="0"/>
        <v>8822082</v>
      </c>
      <c r="F19" s="73"/>
      <c r="H19" s="465"/>
      <c r="J19" s="87"/>
      <c r="K19" s="88"/>
      <c r="L19" s="29"/>
    </row>
    <row r="20" spans="1:12" ht="16">
      <c r="A20" s="115"/>
      <c r="B20" s="98" t="s">
        <v>68</v>
      </c>
      <c r="C20" s="99">
        <f>'Absolute Volume'!K6</f>
        <v>5317639485.0019302</v>
      </c>
      <c r="D20" s="108">
        <v>204962682159</v>
      </c>
      <c r="E20" s="99">
        <f t="shared" si="0"/>
        <v>199645042673.99808</v>
      </c>
      <c r="F20" s="73"/>
      <c r="H20" s="465"/>
      <c r="J20" s="83"/>
      <c r="K20" s="88"/>
      <c r="L20" s="29"/>
    </row>
    <row r="21" spans="1:12" ht="16">
      <c r="A21" s="115"/>
      <c r="B21" s="116" t="s">
        <v>767</v>
      </c>
      <c r="C21" s="117">
        <v>1039011841.5411607</v>
      </c>
      <c r="D21" s="117">
        <v>165494794705</v>
      </c>
      <c r="E21" s="117">
        <f t="shared" si="0"/>
        <v>164455782863.45883</v>
      </c>
      <c r="F21" s="73"/>
      <c r="H21" s="737"/>
      <c r="J21" s="89"/>
      <c r="K21" s="89"/>
      <c r="L21" s="29"/>
    </row>
    <row r="22" spans="1:12" ht="16">
      <c r="A22" s="115"/>
      <c r="B22" s="116" t="s">
        <v>768</v>
      </c>
      <c r="C22" s="117">
        <v>553682702.96656609</v>
      </c>
      <c r="D22" s="117">
        <v>34479742483</v>
      </c>
      <c r="E22" s="117">
        <f t="shared" si="0"/>
        <v>33926059780.033432</v>
      </c>
      <c r="F22" s="73"/>
      <c r="H22" s="736"/>
      <c r="J22" s="89"/>
      <c r="K22" s="89"/>
      <c r="L22" s="29"/>
    </row>
    <row r="23" spans="1:12" ht="16">
      <c r="A23" s="115"/>
      <c r="B23" s="116" t="s">
        <v>769</v>
      </c>
      <c r="C23" s="117">
        <v>3135394115.5094566</v>
      </c>
      <c r="D23" s="117">
        <v>4154938486</v>
      </c>
      <c r="E23" s="117">
        <f t="shared" si="0"/>
        <v>1019544370.4905434</v>
      </c>
      <c r="F23" s="73"/>
      <c r="H23" s="465"/>
      <c r="J23" s="87"/>
      <c r="K23" s="88"/>
      <c r="L23" s="29"/>
    </row>
    <row r="24" spans="1:12" ht="16">
      <c r="A24" s="115"/>
      <c r="B24" s="118" t="s">
        <v>408</v>
      </c>
      <c r="C24" s="119">
        <f>Oil!C26+Ethanol!C18+Biodiesel!C22+Geothermal!C27</f>
        <v>594434760.51086938</v>
      </c>
      <c r="D24" s="119">
        <v>831800304</v>
      </c>
      <c r="E24" s="119">
        <f t="shared" si="0"/>
        <v>237365543.48913062</v>
      </c>
      <c r="F24" s="92"/>
      <c r="H24" s="465"/>
      <c r="J24" s="86"/>
      <c r="K24" s="86"/>
      <c r="L24" s="29"/>
    </row>
    <row r="25" spans="1:12" ht="16">
      <c r="A25" s="115"/>
      <c r="B25" s="98" t="s">
        <v>770</v>
      </c>
      <c r="C25" s="99">
        <f>'Absolute Volume'!M6</f>
        <v>372470239.06453657</v>
      </c>
      <c r="D25" s="99">
        <v>77284898</v>
      </c>
      <c r="E25" s="109" t="s">
        <v>773</v>
      </c>
      <c r="F25" s="92"/>
      <c r="G25" s="84"/>
      <c r="H25" s="464"/>
      <c r="J25" s="85"/>
      <c r="K25" s="85"/>
    </row>
    <row r="26" spans="1:12" ht="16">
      <c r="A26" s="115"/>
      <c r="B26" s="100" t="s">
        <v>48</v>
      </c>
      <c r="C26" s="101">
        <f>SUM(C25,C17:C20)</f>
        <v>16387437298.066467</v>
      </c>
      <c r="D26" s="101">
        <f>SUM(D17:D20,D25)</f>
        <v>219611004644</v>
      </c>
      <c r="E26" s="101">
        <f>D26-C26</f>
        <v>203223567345.93353</v>
      </c>
      <c r="F26" s="92"/>
      <c r="H26" s="465"/>
      <c r="J26" s="85"/>
      <c r="K26" s="85"/>
    </row>
    <row r="27" spans="1:12" ht="16">
      <c r="A27" s="115"/>
      <c r="B27" s="98"/>
      <c r="C27" s="210"/>
      <c r="D27" s="99"/>
      <c r="E27" s="99"/>
      <c r="F27" s="92"/>
      <c r="H27" s="465"/>
      <c r="J27" s="85"/>
      <c r="K27" s="85"/>
    </row>
    <row r="28" spans="1:12" ht="16">
      <c r="A28" s="115"/>
      <c r="B28" s="110" t="s">
        <v>772</v>
      </c>
      <c r="C28" s="111"/>
      <c r="D28" s="111"/>
      <c r="E28" s="111"/>
      <c r="F28" s="90"/>
      <c r="H28" s="465"/>
      <c r="J28" s="85"/>
      <c r="K28" s="85"/>
    </row>
    <row r="29" spans="1:12" ht="16">
      <c r="A29" s="115"/>
      <c r="B29" s="98" t="s">
        <v>16</v>
      </c>
      <c r="C29" s="99">
        <v>2853393578.0999999</v>
      </c>
      <c r="D29" s="99">
        <f>7078532086</f>
        <v>7078532086</v>
      </c>
      <c r="E29" s="99">
        <f t="shared" ref="E29:E38" si="1">D29-C29</f>
        <v>4225138507.9000001</v>
      </c>
      <c r="F29" s="73"/>
      <c r="H29" s="465"/>
    </row>
    <row r="30" spans="1:12" ht="16">
      <c r="A30" s="115"/>
      <c r="B30" s="98" t="s">
        <v>17</v>
      </c>
      <c r="C30" s="99">
        <f>320728847.9</f>
        <v>320728847.89999998</v>
      </c>
      <c r="D30" s="99">
        <f>1059681033</f>
        <v>1059681033</v>
      </c>
      <c r="E30" s="99">
        <f t="shared" si="1"/>
        <v>738952185.10000002</v>
      </c>
      <c r="F30" s="73"/>
      <c r="H30" s="465"/>
    </row>
    <row r="31" spans="1:12" ht="16">
      <c r="A31" s="115"/>
      <c r="B31" s="98" t="s">
        <v>142</v>
      </c>
      <c r="C31" s="99">
        <v>3682531436.5</v>
      </c>
      <c r="D31" s="99">
        <v>4547189422</v>
      </c>
      <c r="E31" s="99">
        <f t="shared" si="1"/>
        <v>864657985.5</v>
      </c>
      <c r="F31" s="73"/>
      <c r="H31" s="465"/>
    </row>
    <row r="32" spans="1:12" ht="16">
      <c r="A32" s="115"/>
      <c r="B32" s="98" t="s">
        <v>143</v>
      </c>
      <c r="C32" s="99">
        <v>494875863.69999999</v>
      </c>
      <c r="D32" s="99">
        <v>621688756</v>
      </c>
      <c r="E32" s="99">
        <f t="shared" si="1"/>
        <v>126812892.30000001</v>
      </c>
      <c r="F32" s="73"/>
      <c r="H32" s="465"/>
    </row>
    <row r="33" spans="1:8" ht="16">
      <c r="A33" s="115"/>
      <c r="B33" s="98" t="s">
        <v>73</v>
      </c>
      <c r="C33" s="99">
        <v>1139103192.0999999</v>
      </c>
      <c r="D33" s="99">
        <v>53594116670</v>
      </c>
      <c r="E33" s="99">
        <f t="shared" si="1"/>
        <v>52455013477.900002</v>
      </c>
      <c r="F33" s="73"/>
      <c r="H33" s="465"/>
    </row>
    <row r="34" spans="1:8" ht="16">
      <c r="A34" s="115"/>
      <c r="B34" s="98" t="s">
        <v>74</v>
      </c>
      <c r="C34" s="99">
        <v>1700484017.5</v>
      </c>
      <c r="D34" s="99">
        <v>50008063326</v>
      </c>
      <c r="E34" s="99">
        <f t="shared" si="1"/>
        <v>48307579308.5</v>
      </c>
      <c r="F34" s="73"/>
      <c r="H34" s="465"/>
    </row>
    <row r="35" spans="1:8" ht="16">
      <c r="A35" s="115"/>
      <c r="B35" s="98" t="s">
        <v>20</v>
      </c>
      <c r="C35" s="99">
        <v>159142193.09999999</v>
      </c>
      <c r="D35" s="99">
        <v>6487629334</v>
      </c>
      <c r="E35" s="99">
        <f t="shared" si="1"/>
        <v>6328487140.8999996</v>
      </c>
      <c r="F35" s="73"/>
      <c r="H35" s="465"/>
    </row>
    <row r="36" spans="1:8" ht="16">
      <c r="A36" s="115"/>
      <c r="B36" s="98" t="s">
        <v>18</v>
      </c>
      <c r="C36" s="99">
        <v>696124262</v>
      </c>
      <c r="D36" s="99">
        <f>9376612861</f>
        <v>9376612861</v>
      </c>
      <c r="E36" s="99">
        <f t="shared" si="1"/>
        <v>8680488599</v>
      </c>
      <c r="F36" s="73"/>
      <c r="H36" s="465"/>
    </row>
    <row r="37" spans="1:8" ht="16">
      <c r="A37" s="115"/>
      <c r="B37" s="98" t="s">
        <v>19</v>
      </c>
      <c r="C37" s="99">
        <v>980869718</v>
      </c>
      <c r="D37" s="99">
        <f>9208311343</f>
        <v>9208311343</v>
      </c>
      <c r="E37" s="99">
        <f t="shared" si="1"/>
        <v>8227441625</v>
      </c>
      <c r="F37" s="73"/>
      <c r="H37" s="465"/>
    </row>
    <row r="38" spans="1:8" ht="16">
      <c r="A38" s="115"/>
      <c r="B38" s="98" t="s">
        <v>28</v>
      </c>
      <c r="C38" s="99">
        <v>1651674465.5999999</v>
      </c>
      <c r="D38" s="99">
        <v>70611847141</v>
      </c>
      <c r="E38" s="99">
        <f t="shared" si="1"/>
        <v>68960172675.399994</v>
      </c>
      <c r="F38" s="73"/>
      <c r="H38" s="465"/>
    </row>
    <row r="39" spans="1:8" ht="16">
      <c r="A39" s="115"/>
      <c r="B39" s="98" t="s">
        <v>29</v>
      </c>
      <c r="C39" s="99">
        <v>2346976960</v>
      </c>
      <c r="D39" s="99">
        <v>2346976960</v>
      </c>
      <c r="E39" s="109" t="s">
        <v>773</v>
      </c>
      <c r="F39" s="73"/>
      <c r="H39" s="465"/>
    </row>
    <row r="40" spans="1:8" ht="16">
      <c r="A40" s="115"/>
      <c r="B40" s="98" t="s">
        <v>5</v>
      </c>
      <c r="C40" s="99">
        <v>1961874</v>
      </c>
      <c r="D40" s="99">
        <v>19618740</v>
      </c>
      <c r="E40" s="99">
        <f>D40-C40</f>
        <v>17656866</v>
      </c>
      <c r="F40" s="73"/>
      <c r="H40" s="464"/>
    </row>
    <row r="41" spans="1:8" ht="16">
      <c r="A41" s="115"/>
      <c r="B41" s="98" t="s">
        <v>288</v>
      </c>
      <c r="C41" s="99">
        <v>180074745.09999999</v>
      </c>
      <c r="D41" s="99">
        <v>4364800898</v>
      </c>
      <c r="E41" s="99">
        <f>D41-C41</f>
        <v>4184726152.9000001</v>
      </c>
      <c r="F41" s="73"/>
      <c r="H41" s="465"/>
    </row>
    <row r="42" spans="1:8" ht="16">
      <c r="A42" s="115"/>
      <c r="B42" s="98" t="s">
        <v>374</v>
      </c>
      <c r="C42" s="99">
        <v>2778556.1</v>
      </c>
      <c r="D42" s="99">
        <v>103521135</v>
      </c>
      <c r="E42" s="99">
        <f>D42-C42</f>
        <v>100742578.90000001</v>
      </c>
      <c r="F42" s="73"/>
      <c r="H42" s="465"/>
    </row>
    <row r="43" spans="1:8" ht="16">
      <c r="A43" s="115"/>
      <c r="B43" s="98" t="s">
        <v>6</v>
      </c>
      <c r="C43" s="99">
        <v>168317795.09999999</v>
      </c>
      <c r="D43" s="99">
        <v>168505329</v>
      </c>
      <c r="E43" s="99">
        <f>D43-C43</f>
        <v>187533.90000000596</v>
      </c>
      <c r="F43" s="73"/>
      <c r="H43" s="465"/>
    </row>
    <row r="44" spans="1:8" ht="16">
      <c r="A44" s="115"/>
      <c r="B44" s="98" t="s">
        <v>38</v>
      </c>
      <c r="C44" s="99">
        <v>169190.6</v>
      </c>
      <c r="D44" s="99">
        <v>169191</v>
      </c>
      <c r="E44" s="109" t="s">
        <v>773</v>
      </c>
      <c r="F44" s="73"/>
      <c r="H44" s="466"/>
    </row>
    <row r="45" spans="1:8" ht="16">
      <c r="A45" s="115"/>
      <c r="B45" s="98" t="s">
        <v>39</v>
      </c>
      <c r="C45" s="99">
        <v>8230602.7999999998</v>
      </c>
      <c r="D45" s="99">
        <v>13740418</v>
      </c>
      <c r="E45" s="99">
        <f>D45-C45</f>
        <v>5509815.2000000002</v>
      </c>
      <c r="F45" s="73"/>
      <c r="H45" s="464"/>
    </row>
    <row r="46" spans="1:8" ht="16">
      <c r="A46" s="115"/>
      <c r="B46" s="112" t="s">
        <v>48</v>
      </c>
      <c r="C46" s="113">
        <f>SUM(C29:C45)</f>
        <v>16387437298.200001</v>
      </c>
      <c r="D46" s="113">
        <v>219611004644</v>
      </c>
      <c r="E46" s="113">
        <f>D46-C46</f>
        <v>203223567345.79999</v>
      </c>
      <c r="F46" s="73"/>
      <c r="H46" s="465"/>
    </row>
    <row r="47" spans="1:8" ht="17" customHeight="1">
      <c r="A47" s="115"/>
      <c r="B47" s="76"/>
      <c r="C47" s="91"/>
      <c r="D47" s="90"/>
      <c r="E47" s="73"/>
      <c r="F47" s="73"/>
      <c r="H47" s="172"/>
    </row>
    <row r="48" spans="1:8">
      <c r="B48" s="10"/>
      <c r="C48" s="81"/>
      <c r="D48" s="10"/>
      <c r="E48" s="10"/>
      <c r="F48" s="10"/>
    </row>
    <row r="49" spans="2:6">
      <c r="B49" s="10"/>
      <c r="C49" s="82"/>
      <c r="D49" s="10"/>
      <c r="E49" s="10"/>
      <c r="F49" s="10"/>
    </row>
    <row r="50" spans="2:6">
      <c r="C50" s="82"/>
    </row>
    <row r="51" spans="2:6">
      <c r="C51" s="81"/>
    </row>
  </sheetData>
  <sheetProtection sheet="1" objects="1" scenarios="1" formatCells="0" formatColumns="0" formatRows="0" sort="0" autoFilter="0" pivotTables="0"/>
  <phoneticPr fontId="55" type="noConversion"/>
  <pageMargins left="0.75" right="0.75" top="1" bottom="1" header="0.5" footer="0.5"/>
  <pageSetup paperSize="3" scale="84" orientation="landscape" horizontalDpi="0" verticalDpi="0"/>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7D03E"/>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1" width="12.6640625" style="16" hidden="1" customWidth="1"/>
    <col min="32" max="32" width="13.6640625" style="16" hidden="1" customWidth="1"/>
    <col min="33" max="16384" width="10.83203125" style="16"/>
  </cols>
  <sheetData>
    <row r="1" spans="1:32" ht="30">
      <c r="A1" s="315" t="s">
        <v>538</v>
      </c>
      <c r="B1" s="316"/>
      <c r="C1" s="485"/>
      <c r="D1" s="485"/>
      <c r="E1" s="317"/>
      <c r="F1" s="316"/>
      <c r="G1" s="316"/>
      <c r="H1" s="316"/>
      <c r="I1" s="316"/>
      <c r="J1" s="316"/>
      <c r="K1" s="316"/>
      <c r="L1" s="316"/>
      <c r="M1" s="316"/>
      <c r="N1" s="316"/>
      <c r="O1" s="316"/>
      <c r="P1" s="316"/>
      <c r="Q1" s="485"/>
      <c r="R1" s="485"/>
      <c r="S1" s="316"/>
      <c r="T1" s="316"/>
      <c r="U1" s="316"/>
      <c r="V1" s="316"/>
      <c r="W1" s="316"/>
      <c r="X1" s="316"/>
      <c r="Y1" s="316"/>
      <c r="Z1" s="316"/>
      <c r="AA1" s="316"/>
      <c r="AB1" s="316"/>
    </row>
    <row r="2" spans="1:32" ht="30">
      <c r="A2" s="315"/>
      <c r="B2" s="316"/>
      <c r="C2" s="316"/>
      <c r="D2" s="316"/>
      <c r="E2" s="317"/>
      <c r="F2" s="316"/>
      <c r="G2" s="316"/>
      <c r="H2" s="316"/>
      <c r="I2" s="316"/>
      <c r="J2" s="316"/>
      <c r="K2" s="316"/>
      <c r="L2" s="316"/>
      <c r="M2" s="316"/>
      <c r="N2" s="316"/>
      <c r="O2" s="316"/>
      <c r="P2" s="316"/>
      <c r="Q2" s="316"/>
      <c r="R2" s="316"/>
      <c r="S2" s="316"/>
      <c r="T2" s="316"/>
      <c r="U2" s="316"/>
      <c r="V2" s="316"/>
      <c r="W2" s="316"/>
      <c r="X2" s="316"/>
      <c r="Y2" s="316"/>
      <c r="Z2" s="316"/>
      <c r="AA2" s="316"/>
      <c r="AB2" s="316"/>
    </row>
    <row r="3" spans="1:32" ht="30">
      <c r="A3" s="315"/>
      <c r="B3" s="316"/>
      <c r="C3" s="316"/>
      <c r="D3" s="316"/>
      <c r="E3" s="317"/>
      <c r="F3" s="316"/>
      <c r="G3" s="316"/>
      <c r="H3" s="316"/>
      <c r="I3" s="316"/>
      <c r="J3" s="316"/>
      <c r="K3" s="316"/>
      <c r="L3" s="316"/>
      <c r="M3" s="316"/>
      <c r="N3" s="316"/>
      <c r="O3" s="316"/>
      <c r="P3" s="316"/>
      <c r="Q3" s="316"/>
      <c r="R3" s="316"/>
      <c r="S3" s="316"/>
      <c r="T3" s="316"/>
      <c r="U3" s="316"/>
      <c r="V3" s="316"/>
      <c r="W3" s="316"/>
      <c r="X3" s="316"/>
      <c r="Y3" s="316"/>
      <c r="Z3" s="316"/>
      <c r="AA3" s="316"/>
      <c r="AB3" s="316"/>
    </row>
    <row r="4" spans="1:32" ht="30">
      <c r="A4" s="315"/>
      <c r="B4" s="316"/>
      <c r="C4" s="316"/>
      <c r="D4" s="316"/>
      <c r="E4" s="317"/>
      <c r="F4" s="316"/>
      <c r="G4" s="316"/>
      <c r="H4" s="316"/>
      <c r="I4" s="316"/>
      <c r="J4" s="316"/>
      <c r="K4" s="316"/>
      <c r="L4" s="316"/>
      <c r="M4" s="316"/>
      <c r="N4" s="316"/>
      <c r="O4" s="316"/>
      <c r="P4" s="316"/>
      <c r="Q4" s="316"/>
      <c r="R4" s="316"/>
      <c r="S4" s="316"/>
      <c r="T4" s="316"/>
      <c r="U4" s="316"/>
      <c r="V4" s="316"/>
      <c r="W4" s="316"/>
      <c r="X4" s="316"/>
      <c r="Y4" s="316"/>
      <c r="Z4" s="316"/>
      <c r="AA4" s="316"/>
      <c r="AB4" s="316"/>
    </row>
    <row r="5" spans="1:32" ht="30">
      <c r="A5" s="315"/>
      <c r="B5" s="316"/>
      <c r="C5" s="316"/>
      <c r="D5" s="316"/>
      <c r="E5" s="317"/>
      <c r="F5" s="316"/>
      <c r="G5" s="316"/>
      <c r="H5" s="316"/>
      <c r="I5" s="316"/>
      <c r="J5" s="316"/>
      <c r="K5" s="316"/>
      <c r="L5" s="316"/>
      <c r="M5" s="316"/>
      <c r="N5" s="316"/>
      <c r="O5" s="316"/>
      <c r="P5" s="316"/>
      <c r="Q5" s="316"/>
      <c r="R5" s="316"/>
      <c r="S5" s="316"/>
      <c r="T5" s="316"/>
      <c r="U5" s="316"/>
      <c r="V5" s="316"/>
      <c r="W5" s="316"/>
      <c r="X5" s="316"/>
      <c r="Y5" s="316"/>
      <c r="Z5" s="316"/>
      <c r="AA5" s="316"/>
      <c r="AB5" s="316"/>
    </row>
    <row r="6" spans="1:32" ht="30">
      <c r="A6" s="315"/>
      <c r="B6" s="316"/>
      <c r="C6" s="316"/>
      <c r="D6" s="316"/>
      <c r="E6" s="317"/>
      <c r="F6" s="316"/>
      <c r="G6" s="316"/>
      <c r="H6" s="316"/>
      <c r="I6" s="316"/>
      <c r="J6" s="316"/>
      <c r="K6" s="316"/>
      <c r="L6" s="316"/>
      <c r="M6" s="316"/>
      <c r="N6" s="316"/>
      <c r="O6" s="316"/>
      <c r="P6" s="316"/>
      <c r="Q6" s="316"/>
      <c r="R6" s="316"/>
      <c r="S6" s="316"/>
      <c r="T6" s="316"/>
      <c r="U6" s="316"/>
      <c r="V6" s="316"/>
      <c r="W6" s="316"/>
      <c r="X6" s="316"/>
      <c r="Y6" s="316"/>
      <c r="Z6" s="316"/>
      <c r="AA6" s="316"/>
      <c r="AB6" s="316"/>
    </row>
    <row r="7" spans="1:32" ht="30">
      <c r="A7" s="315"/>
      <c r="B7" s="316"/>
      <c r="C7" s="316"/>
      <c r="D7" s="316"/>
      <c r="E7" s="317"/>
      <c r="F7" s="316"/>
      <c r="G7" s="316"/>
      <c r="H7" s="316"/>
      <c r="I7" s="316"/>
      <c r="J7" s="316"/>
      <c r="K7" s="316"/>
      <c r="L7" s="316"/>
      <c r="M7" s="316"/>
      <c r="N7" s="316"/>
      <c r="O7" s="316"/>
      <c r="P7" s="316"/>
      <c r="Q7" s="316"/>
      <c r="R7" s="316"/>
      <c r="S7" s="316"/>
      <c r="T7" s="316"/>
      <c r="U7" s="316"/>
      <c r="V7" s="316"/>
      <c r="W7" s="316"/>
      <c r="X7" s="316"/>
      <c r="Y7" s="316"/>
      <c r="Z7" s="316"/>
      <c r="AA7" s="316"/>
      <c r="AB7" s="316"/>
    </row>
    <row r="8" spans="1:32" ht="30">
      <c r="A8" s="315"/>
      <c r="B8" s="316"/>
      <c r="C8" s="316"/>
      <c r="D8" s="316"/>
      <c r="E8" s="317"/>
      <c r="F8" s="316"/>
      <c r="G8" s="316"/>
      <c r="H8" s="316"/>
      <c r="I8" s="316"/>
      <c r="J8" s="316"/>
      <c r="K8" s="316"/>
      <c r="L8" s="316"/>
      <c r="M8" s="316"/>
      <c r="N8" s="316"/>
      <c r="O8" s="316"/>
      <c r="P8" s="316"/>
      <c r="Q8" s="316"/>
      <c r="R8" s="316"/>
      <c r="S8" s="316"/>
      <c r="T8" s="316"/>
      <c r="U8" s="316"/>
      <c r="V8" s="316"/>
      <c r="W8" s="316"/>
      <c r="X8" s="316"/>
      <c r="Y8" s="316"/>
      <c r="Z8" s="316"/>
      <c r="AA8" s="316"/>
      <c r="AB8" s="316"/>
    </row>
    <row r="9" spans="1:32" ht="31" thickBot="1">
      <c r="A9" s="315"/>
      <c r="B9" s="316"/>
      <c r="C9" s="316"/>
      <c r="D9" s="316"/>
      <c r="E9" s="317"/>
      <c r="F9" s="316"/>
      <c r="G9" s="316"/>
      <c r="H9" s="316"/>
      <c r="I9" s="316"/>
      <c r="J9" s="316"/>
      <c r="K9" s="316"/>
      <c r="L9" s="316"/>
      <c r="M9" s="316"/>
      <c r="N9" s="316"/>
      <c r="O9" s="316"/>
      <c r="P9" s="316"/>
      <c r="Q9" s="316"/>
      <c r="R9" s="316"/>
      <c r="S9" s="316"/>
      <c r="T9" s="316"/>
      <c r="U9" s="316"/>
      <c r="V9" s="316"/>
      <c r="W9" s="316"/>
      <c r="X9" s="316"/>
      <c r="Y9" s="316"/>
      <c r="Z9" s="316"/>
      <c r="AA9" s="316"/>
      <c r="AB9" s="316"/>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1487682223.6062865</v>
      </c>
      <c r="AF11" s="18">
        <f>X13*O13</f>
        <v>69666423644.143707</v>
      </c>
    </row>
    <row r="12" spans="1:32" ht="15" customHeight="1" thickBot="1">
      <c r="A12" s="268"/>
      <c r="B12" s="268" t="s">
        <v>48</v>
      </c>
      <c r="C12" s="269">
        <f>SUM(C15:C31)</f>
        <v>1651674465.6008334</v>
      </c>
      <c r="D12" s="269"/>
      <c r="E12" s="269">
        <f>SUM(E15:E31)</f>
        <v>0.60619349569715275</v>
      </c>
      <c r="F12" s="270"/>
      <c r="G12" s="270"/>
      <c r="H12" s="270"/>
      <c r="I12" s="270"/>
      <c r="J12" s="270"/>
      <c r="K12" s="501"/>
      <c r="L12" s="270"/>
      <c r="M12" s="270"/>
      <c r="N12" s="270"/>
      <c r="O12" s="276">
        <f>SUM(O15:O31)</f>
        <v>70611847140.527802</v>
      </c>
      <c r="P12" s="268"/>
      <c r="Q12" s="269">
        <f>SUM(Q15:Q31)</f>
        <v>25.915786280669106</v>
      </c>
      <c r="R12" s="270"/>
      <c r="S12" s="270"/>
      <c r="T12" s="270"/>
      <c r="U12" s="270"/>
      <c r="V12" s="270"/>
      <c r="W12" s="501"/>
      <c r="X12" s="270"/>
      <c r="Y12" s="270"/>
      <c r="Z12" s="270"/>
      <c r="AA12" s="235"/>
      <c r="AB12" s="236"/>
      <c r="AD12" s="16" t="s">
        <v>887</v>
      </c>
      <c r="AE12" s="18">
        <f>K13*C13</f>
        <v>42358192.316028222</v>
      </c>
      <c r="AF12" s="18">
        <f>W13*O13</f>
        <v>57960724.257753894</v>
      </c>
    </row>
    <row r="13" spans="1:32" ht="15" customHeight="1" thickTop="1" thickBot="1">
      <c r="A13" s="271"/>
      <c r="B13" s="271" t="s">
        <v>870</v>
      </c>
      <c r="C13" s="272">
        <f>SUM(C15:C31)</f>
        <v>1651674465.6008334</v>
      </c>
      <c r="D13" s="272"/>
      <c r="E13" s="272">
        <f>SUM(E15:E31)</f>
        <v>0.60619349569715275</v>
      </c>
      <c r="F13" s="282">
        <f>SUMPRODUCT(F15:F31,$C$15:$C$31)/SUM($C$15:$C$31)</f>
        <v>0.86097682054721536</v>
      </c>
      <c r="G13" s="282">
        <f t="shared" ref="G13:M13" si="0">SUMPRODUCT(G15:G31,$C$15:$C$31)/SUM($C$15:$C$31)</f>
        <v>6.2768652056126875E-2</v>
      </c>
      <c r="H13" s="282">
        <f t="shared" si="0"/>
        <v>7.6254527396657723E-2</v>
      </c>
      <c r="I13" s="282">
        <f t="shared" si="0"/>
        <v>0</v>
      </c>
      <c r="J13" s="430">
        <f>SUM(F13:I13)</f>
        <v>1</v>
      </c>
      <c r="K13" s="393">
        <f t="shared" si="0"/>
        <v>2.5645605837116024E-2</v>
      </c>
      <c r="L13" s="282">
        <f>SUMPRODUCT(L15:L31,$C$15:$C$31)/SUM($C$15:$C$31)</f>
        <v>0.90071152311790992</v>
      </c>
      <c r="M13" s="282">
        <f t="shared" si="0"/>
        <v>7.3642871044974093E-2</v>
      </c>
      <c r="N13" s="430">
        <f>SUM(K13:M13)</f>
        <v>1</v>
      </c>
      <c r="O13" s="277">
        <f>SUM(O15:O31)</f>
        <v>70611847140.527802</v>
      </c>
      <c r="P13" s="271"/>
      <c r="Q13" s="272">
        <f>SUM(Q15:Q31)</f>
        <v>25.915786280669106</v>
      </c>
      <c r="R13" s="282">
        <f>SUMPRODUCT(R15:R31,$O$15:$O$31)/SUM($O$15:$O$31)</f>
        <v>0.73010111931031652</v>
      </c>
      <c r="S13" s="282">
        <f t="shared" ref="S13:Y13" si="1">SUMPRODUCT(S15:S31,$O$15:$O$31)/SUM($O$15:$O$31)</f>
        <v>9.5373608564423465E-2</v>
      </c>
      <c r="T13" s="282">
        <f t="shared" si="1"/>
        <v>0.17452527212526037</v>
      </c>
      <c r="U13" s="282">
        <f t="shared" si="1"/>
        <v>0</v>
      </c>
      <c r="V13" s="430">
        <f>SUM(R13:U13)</f>
        <v>1.0000000000000004</v>
      </c>
      <c r="W13" s="393">
        <f t="shared" si="1"/>
        <v>8.2083568982983346E-4</v>
      </c>
      <c r="X13" s="282">
        <f>SUMPRODUCT(X15:X31,$O$15:$O$31)/SUM($O$15:$O$31)</f>
        <v>0.98661097911087692</v>
      </c>
      <c r="Y13" s="282">
        <f t="shared" si="1"/>
        <v>1.2568185199293379E-2</v>
      </c>
      <c r="Z13" s="430">
        <f>SUM(W13:Y13)</f>
        <v>1.0000000000000002</v>
      </c>
      <c r="AA13" s="702"/>
      <c r="AB13" s="703"/>
      <c r="AD13" s="16" t="s">
        <v>888</v>
      </c>
      <c r="AE13" s="18">
        <f>M13*C13</f>
        <v>121634049.67851867</v>
      </c>
      <c r="AF13" s="18">
        <f>Y13*O13</f>
        <v>887462772.12634802</v>
      </c>
    </row>
    <row r="14" spans="1:32" ht="15" customHeight="1" thickTop="1" thickBot="1">
      <c r="A14" s="224" t="s">
        <v>591</v>
      </c>
      <c r="B14" s="232"/>
      <c r="C14" s="232"/>
      <c r="D14" s="232"/>
      <c r="E14" s="232"/>
      <c r="F14" s="232"/>
      <c r="G14" s="232"/>
      <c r="H14" s="232"/>
      <c r="I14" s="232"/>
      <c r="J14" s="232"/>
      <c r="K14" s="301"/>
      <c r="L14" s="244"/>
      <c r="M14" s="232"/>
      <c r="N14" s="232"/>
      <c r="O14" s="684"/>
      <c r="P14" s="232"/>
      <c r="Q14" s="232"/>
      <c r="R14" s="232"/>
      <c r="S14" s="232"/>
      <c r="T14" s="232"/>
      <c r="U14" s="232"/>
      <c r="V14" s="232"/>
      <c r="W14" s="301"/>
      <c r="X14" s="244"/>
      <c r="Y14" s="232"/>
      <c r="Z14" s="232"/>
      <c r="AA14" s="704"/>
      <c r="AB14" s="711"/>
      <c r="AE14" s="18"/>
      <c r="AF14" s="18"/>
    </row>
    <row r="15" spans="1:32" ht="15" customHeight="1" thickTop="1" thickBot="1">
      <c r="A15" s="232"/>
      <c r="B15" s="232" t="s">
        <v>402</v>
      </c>
      <c r="C15" s="243">
        <v>22568.763048038265</v>
      </c>
      <c r="D15" s="243">
        <f>C15/AA15</f>
        <v>2.592906481925811E-5</v>
      </c>
      <c r="E15" s="243">
        <f>C15/AB15</f>
        <v>8.2831318462468703E-6</v>
      </c>
      <c r="F15" s="240">
        <v>1</v>
      </c>
      <c r="G15" s="240"/>
      <c r="H15" s="240"/>
      <c r="I15" s="240"/>
      <c r="J15" s="430">
        <f>SUM(F15:I15)</f>
        <v>1</v>
      </c>
      <c r="K15" s="299">
        <v>1</v>
      </c>
      <c r="L15" s="300"/>
      <c r="M15" s="240"/>
      <c r="N15" s="430">
        <f>SUM(K15:M15)</f>
        <v>1</v>
      </c>
      <c r="O15" s="677">
        <v>22568.763048038265</v>
      </c>
      <c r="P15" s="243">
        <f>O15/AA15</f>
        <v>2.592906481925811E-5</v>
      </c>
      <c r="Q15" s="243">
        <f>O15/AB15</f>
        <v>8.2831318462468703E-6</v>
      </c>
      <c r="R15" s="240">
        <v>1</v>
      </c>
      <c r="S15" s="240"/>
      <c r="T15" s="240"/>
      <c r="U15" s="240"/>
      <c r="V15" s="430">
        <f>SUM(R15:U15)</f>
        <v>1</v>
      </c>
      <c r="W15" s="299">
        <v>1</v>
      </c>
      <c r="X15" s="300"/>
      <c r="Y15" s="240"/>
      <c r="Z15" s="430">
        <f>SUM(W15:Y15)</f>
        <v>1</v>
      </c>
      <c r="AA15" s="706">
        <v>870404050.6418854</v>
      </c>
      <c r="AB15" s="707">
        <f>'Energy data by fuel cycle'!$G$14</f>
        <v>2724665436.5720725</v>
      </c>
      <c r="AD15" s="16" t="s">
        <v>267</v>
      </c>
      <c r="AE15" s="18">
        <f>F13*C13</f>
        <v>1422053429.9720266</v>
      </c>
      <c r="AF15" s="18">
        <f>R13*O13</f>
        <v>51553788633.868324</v>
      </c>
    </row>
    <row r="16" spans="1:32" ht="15" customHeight="1" thickTop="1" thickBot="1">
      <c r="A16" s="232"/>
      <c r="B16" s="232" t="s">
        <v>539</v>
      </c>
      <c r="C16" s="243">
        <v>3044329.5587400002</v>
      </c>
      <c r="D16" s="243">
        <f>C16/AA16</f>
        <v>3.4976049990747844E-3</v>
      </c>
      <c r="E16" s="243">
        <f>C16/AB16</f>
        <v>1.1173223390575616E-3</v>
      </c>
      <c r="F16" s="240">
        <v>1</v>
      </c>
      <c r="G16" s="240"/>
      <c r="H16" s="240"/>
      <c r="I16" s="240"/>
      <c r="J16" s="430">
        <f t="shared" ref="J16:J31" si="2">SUM(F16:I16)</f>
        <v>1</v>
      </c>
      <c r="K16" s="299">
        <v>1</v>
      </c>
      <c r="L16" s="300"/>
      <c r="M16" s="240"/>
      <c r="N16" s="430">
        <f>SUM(K16:M16)</f>
        <v>1</v>
      </c>
      <c r="O16" s="677">
        <v>3044329.5587400002</v>
      </c>
      <c r="P16" s="243">
        <f>O16/AA16</f>
        <v>3.4976049990747844E-3</v>
      </c>
      <c r="Q16" s="243">
        <f>O16/AB16</f>
        <v>1.1173223390575616E-3</v>
      </c>
      <c r="R16" s="240">
        <v>1</v>
      </c>
      <c r="S16" s="240"/>
      <c r="T16" s="240"/>
      <c r="U16" s="240"/>
      <c r="V16" s="430">
        <f t="shared" ref="V16:V31" si="3">SUM(R16:U16)</f>
        <v>1</v>
      </c>
      <c r="W16" s="299">
        <v>1</v>
      </c>
      <c r="X16" s="300"/>
      <c r="Y16" s="240"/>
      <c r="Z16" s="430">
        <f>SUM(W16:Y16)</f>
        <v>1</v>
      </c>
      <c r="AA16" s="706">
        <v>870404050.6418854</v>
      </c>
      <c r="AB16" s="707">
        <f>'Energy data by fuel cycle'!$G$14</f>
        <v>2724665436.5720725</v>
      </c>
      <c r="AD16" s="16" t="s">
        <v>654</v>
      </c>
      <c r="AE16" s="18">
        <f>G13*C13</f>
        <v>103673379.84128802</v>
      </c>
      <c r="AF16" s="18">
        <f>S13*O13</f>
        <v>6734506669.1916027</v>
      </c>
    </row>
    <row r="17" spans="1:32" ht="15" customHeight="1" thickTop="1" thickBot="1">
      <c r="A17" s="232"/>
      <c r="B17" s="232" t="s">
        <v>540</v>
      </c>
      <c r="C17" s="243">
        <v>785656.93083172874</v>
      </c>
      <c r="D17" s="243">
        <f>C17/AA17</f>
        <v>3.8040975622028756E-3</v>
      </c>
      <c r="E17" s="243">
        <f>C17/AB17</f>
        <v>2.8834987234989526E-4</v>
      </c>
      <c r="F17" s="319">
        <v>1</v>
      </c>
      <c r="G17" s="240"/>
      <c r="H17" s="240"/>
      <c r="I17" s="240"/>
      <c r="J17" s="430">
        <f t="shared" si="2"/>
        <v>1</v>
      </c>
      <c r="K17" s="299">
        <v>1</v>
      </c>
      <c r="L17" s="300"/>
      <c r="M17" s="240"/>
      <c r="N17" s="430">
        <f>SUM(K17:M17)</f>
        <v>1</v>
      </c>
      <c r="O17" s="677">
        <v>785656.93083172874</v>
      </c>
      <c r="P17" s="243">
        <f>O17/AA17</f>
        <v>3.8040975622028756E-3</v>
      </c>
      <c r="Q17" s="243">
        <f>O17/AB17</f>
        <v>2.8834987234989526E-4</v>
      </c>
      <c r="R17" s="319">
        <v>1</v>
      </c>
      <c r="S17" s="240"/>
      <c r="T17" s="240"/>
      <c r="U17" s="240"/>
      <c r="V17" s="430">
        <f t="shared" si="3"/>
        <v>1</v>
      </c>
      <c r="W17" s="299">
        <v>1</v>
      </c>
      <c r="X17" s="300"/>
      <c r="Y17" s="240"/>
      <c r="Z17" s="430">
        <f>SUM(W17:Y17)</f>
        <v>1</v>
      </c>
      <c r="AA17" s="706">
        <v>206529122.3437421</v>
      </c>
      <c r="AB17" s="707">
        <f>'Energy data by fuel cycle'!$G$14</f>
        <v>2724665436.5720725</v>
      </c>
      <c r="AD17" s="16" t="s">
        <v>889</v>
      </c>
      <c r="AE17" s="18">
        <f>H13*C13</f>
        <v>125947655.78751875</v>
      </c>
      <c r="AF17" s="18">
        <f>T13*O13</f>
        <v>12323551837.467903</v>
      </c>
    </row>
    <row r="18" spans="1:32" ht="15" customHeight="1" thickTop="1">
      <c r="A18" s="232"/>
      <c r="B18" s="232"/>
      <c r="C18" s="284"/>
      <c r="D18" s="284"/>
      <c r="E18" s="284"/>
      <c r="F18" s="240"/>
      <c r="G18" s="240"/>
      <c r="H18" s="240"/>
      <c r="I18" s="240"/>
      <c r="J18" s="425"/>
      <c r="K18" s="299"/>
      <c r="L18" s="300"/>
      <c r="M18" s="240"/>
      <c r="N18" s="425"/>
      <c r="O18" s="679"/>
      <c r="P18" s="284"/>
      <c r="Q18" s="284"/>
      <c r="R18" s="240"/>
      <c r="S18" s="240"/>
      <c r="T18" s="240"/>
      <c r="U18" s="240"/>
      <c r="V18" s="425"/>
      <c r="W18" s="299"/>
      <c r="X18" s="300"/>
      <c r="Y18" s="240"/>
      <c r="Z18" s="425"/>
      <c r="AA18" s="706"/>
      <c r="AB18" s="707"/>
      <c r="AD18" s="16" t="s">
        <v>890</v>
      </c>
      <c r="AE18" s="18">
        <f>I13*C13</f>
        <v>0</v>
      </c>
      <c r="AF18" s="18">
        <f>U13*O13</f>
        <v>0</v>
      </c>
    </row>
    <row r="19" spans="1:32" ht="15" customHeight="1" thickBot="1">
      <c r="A19" s="221" t="s">
        <v>66</v>
      </c>
      <c r="B19" s="232"/>
      <c r="C19" s="284"/>
      <c r="D19" s="284"/>
      <c r="E19" s="284"/>
      <c r="F19" s="240"/>
      <c r="G19" s="240"/>
      <c r="H19" s="240"/>
      <c r="I19" s="240"/>
      <c r="J19" s="425"/>
      <c r="K19" s="299"/>
      <c r="L19" s="300"/>
      <c r="M19" s="240"/>
      <c r="N19" s="425"/>
      <c r="O19" s="679"/>
      <c r="P19" s="284"/>
      <c r="Q19" s="284"/>
      <c r="R19" s="240"/>
      <c r="S19" s="240"/>
      <c r="T19" s="240"/>
      <c r="U19" s="240"/>
      <c r="V19" s="425"/>
      <c r="W19" s="299"/>
      <c r="X19" s="300"/>
      <c r="Y19" s="240"/>
      <c r="Z19" s="425"/>
      <c r="AA19" s="706"/>
      <c r="AB19" s="707"/>
    </row>
    <row r="20" spans="1:32" ht="15" customHeight="1" thickTop="1" thickBot="1">
      <c r="A20" s="232"/>
      <c r="B20" s="232" t="s">
        <v>541</v>
      </c>
      <c r="C20" s="243">
        <v>5098382.8717653649</v>
      </c>
      <c r="D20" s="243">
        <f>C20/AA20</f>
        <v>8.9693502843371682E-4</v>
      </c>
      <c r="E20" s="243">
        <f>C20/AB20</f>
        <v>1.871195928620025E-3</v>
      </c>
      <c r="F20" s="319">
        <v>1</v>
      </c>
      <c r="G20" s="240"/>
      <c r="H20" s="240"/>
      <c r="I20" s="240"/>
      <c r="J20" s="430">
        <f t="shared" si="2"/>
        <v>1</v>
      </c>
      <c r="K20" s="299">
        <v>1</v>
      </c>
      <c r="L20" s="300"/>
      <c r="M20" s="240"/>
      <c r="N20" s="430">
        <f>SUM(K20:M20)</f>
        <v>1</v>
      </c>
      <c r="O20" s="677">
        <v>5098382.8717653649</v>
      </c>
      <c r="P20" s="243">
        <f>O20/AA20</f>
        <v>8.9693502843371682E-4</v>
      </c>
      <c r="Q20" s="243">
        <f>O20/AB20</f>
        <v>1.871195928620025E-3</v>
      </c>
      <c r="R20" s="319">
        <v>1</v>
      </c>
      <c r="S20" s="240"/>
      <c r="T20" s="240"/>
      <c r="U20" s="240"/>
      <c r="V20" s="430">
        <f t="shared" si="3"/>
        <v>1</v>
      </c>
      <c r="W20" s="299">
        <v>1</v>
      </c>
      <c r="X20" s="300"/>
      <c r="Y20" s="240"/>
      <c r="Z20" s="430">
        <f>SUM(W20:Y20)</f>
        <v>1</v>
      </c>
      <c r="AA20" s="706">
        <v>5684227630.9226933</v>
      </c>
      <c r="AB20" s="707">
        <f>'Energy data by fuel cycle'!$G$14</f>
        <v>2724665436.5720725</v>
      </c>
      <c r="AD20" s="16" t="s">
        <v>614</v>
      </c>
      <c r="AE20" s="419">
        <f>SUM(C15:C17)</f>
        <v>3852555.2526197676</v>
      </c>
      <c r="AF20" s="419">
        <f>SUM(O15:O17)</f>
        <v>3852555.2526197676</v>
      </c>
    </row>
    <row r="21" spans="1:32" ht="15" customHeight="1" thickTop="1" thickBot="1">
      <c r="A21" s="232"/>
      <c r="B21" s="232" t="s">
        <v>542</v>
      </c>
      <c r="C21" s="243">
        <v>108040</v>
      </c>
      <c r="D21" s="243">
        <f>C21/AA21</f>
        <v>4.2350073564074773E-5</v>
      </c>
      <c r="E21" s="243">
        <f>C21/AB21</f>
        <v>3.9652574789485403E-5</v>
      </c>
      <c r="F21" s="319">
        <v>1</v>
      </c>
      <c r="G21" s="240"/>
      <c r="H21" s="240"/>
      <c r="I21" s="240"/>
      <c r="J21" s="430">
        <f t="shared" si="2"/>
        <v>1</v>
      </c>
      <c r="K21" s="299">
        <v>1</v>
      </c>
      <c r="L21" s="300"/>
      <c r="M21" s="240"/>
      <c r="N21" s="430">
        <f>SUM(K21:M21)</f>
        <v>1</v>
      </c>
      <c r="O21" s="677">
        <v>108040</v>
      </c>
      <c r="P21" s="243">
        <f>O21/AA21</f>
        <v>4.2350073564074773E-5</v>
      </c>
      <c r="Q21" s="243">
        <f>O21/AB21</f>
        <v>3.9652574789485403E-5</v>
      </c>
      <c r="R21" s="319">
        <v>1</v>
      </c>
      <c r="S21" s="240"/>
      <c r="T21" s="240"/>
      <c r="U21" s="240"/>
      <c r="V21" s="430">
        <f t="shared" si="3"/>
        <v>1</v>
      </c>
      <c r="W21" s="299">
        <v>1</v>
      </c>
      <c r="X21" s="300"/>
      <c r="Y21" s="240"/>
      <c r="Z21" s="430">
        <f>SUM(W21:Y21)</f>
        <v>1</v>
      </c>
      <c r="AA21" s="706">
        <v>2551117174.2485347</v>
      </c>
      <c r="AB21" s="707">
        <f>'Energy data by fuel cycle'!$G$14</f>
        <v>2724665436.5720725</v>
      </c>
      <c r="AD21" s="16" t="s">
        <v>82</v>
      </c>
      <c r="AE21" s="419">
        <f>SUM(C20:C23)</f>
        <v>6844656.0728595434</v>
      </c>
      <c r="AF21" s="419">
        <f>SUM(O20:O23)</f>
        <v>7687750.1968047144</v>
      </c>
    </row>
    <row r="22" spans="1:32" ht="15" customHeight="1" thickTop="1" thickBot="1">
      <c r="A22" s="232"/>
      <c r="B22" s="232" t="s">
        <v>543</v>
      </c>
      <c r="C22" s="243">
        <v>1414382.8308808329</v>
      </c>
      <c r="D22" s="243">
        <f>C22/AA22</f>
        <v>1.6078094142275642E-4</v>
      </c>
      <c r="E22" s="243">
        <f>C22/AB22</f>
        <v>5.191033041694401E-4</v>
      </c>
      <c r="F22" s="319">
        <v>1</v>
      </c>
      <c r="G22" s="240"/>
      <c r="H22" s="240"/>
      <c r="I22" s="240"/>
      <c r="J22" s="430">
        <f t="shared" si="2"/>
        <v>1</v>
      </c>
      <c r="K22" s="299">
        <v>0.59354510085305967</v>
      </c>
      <c r="L22" s="300">
        <f>1-K22</f>
        <v>0.40645489914694033</v>
      </c>
      <c r="M22" s="240"/>
      <c r="N22" s="430">
        <f>SUM(K22:M22)</f>
        <v>1</v>
      </c>
      <c r="O22" s="677">
        <v>2200828.2562508327</v>
      </c>
      <c r="P22" s="243">
        <f>O22/AA22</f>
        <v>2.5018066624115124E-4</v>
      </c>
      <c r="Q22" s="243">
        <f>O22/AB22</f>
        <v>8.0774256784338101E-4</v>
      </c>
      <c r="R22" s="319">
        <v>1</v>
      </c>
      <c r="S22" s="240"/>
      <c r="T22" s="240"/>
      <c r="U22" s="240"/>
      <c r="V22" s="430">
        <f t="shared" si="3"/>
        <v>1</v>
      </c>
      <c r="W22" s="299">
        <v>0.38144730176724911</v>
      </c>
      <c r="X22" s="300">
        <f>1-W22</f>
        <v>0.61855269823275094</v>
      </c>
      <c r="Y22" s="240"/>
      <c r="Z22" s="430">
        <f>SUM(W22:Y22)</f>
        <v>1</v>
      </c>
      <c r="AA22" s="706">
        <v>8796955773.2708092</v>
      </c>
      <c r="AB22" s="707">
        <f>'Energy data by fuel cycle'!$G$14</f>
        <v>2724665436.5720725</v>
      </c>
      <c r="AD22" s="16" t="s">
        <v>891</v>
      </c>
    </row>
    <row r="23" spans="1:32" ht="15" customHeight="1" thickTop="1" thickBot="1">
      <c r="A23" s="232"/>
      <c r="B23" s="232" t="s">
        <v>544</v>
      </c>
      <c r="C23" s="243">
        <v>223850.37021334586</v>
      </c>
      <c r="D23" s="243">
        <f>C23/AA23</f>
        <v>4.0256097704449161E-5</v>
      </c>
      <c r="E23" s="243">
        <f>C23/AB23</f>
        <v>8.2157011722868302E-5</v>
      </c>
      <c r="F23" s="319">
        <v>1</v>
      </c>
      <c r="G23" s="240"/>
      <c r="H23" s="240"/>
      <c r="I23" s="240"/>
      <c r="J23" s="430">
        <f t="shared" si="2"/>
        <v>1</v>
      </c>
      <c r="K23" s="299">
        <v>0.57664665595670916</v>
      </c>
      <c r="L23" s="300">
        <f>1-K23</f>
        <v>0.42335334404329084</v>
      </c>
      <c r="M23" s="240"/>
      <c r="N23" s="430">
        <f>SUM(K23:M23)</f>
        <v>1</v>
      </c>
      <c r="O23" s="677">
        <v>280499.06878851657</v>
      </c>
      <c r="P23" s="243">
        <f>O23/AA23</f>
        <v>5.0443507903943233E-5</v>
      </c>
      <c r="Q23" s="243">
        <f>O23/AB23</f>
        <v>1.0294807759642414E-4</v>
      </c>
      <c r="R23" s="319">
        <v>1</v>
      </c>
      <c r="S23" s="240"/>
      <c r="T23" s="240"/>
      <c r="U23" s="240"/>
      <c r="V23" s="430">
        <f t="shared" si="3"/>
        <v>1</v>
      </c>
      <c r="W23" s="299">
        <v>0.46018893387314436</v>
      </c>
      <c r="X23" s="300">
        <f>1-W23</f>
        <v>0.53981106612685559</v>
      </c>
      <c r="Y23" s="240"/>
      <c r="Z23" s="430">
        <f>SUM(W23:Y23)</f>
        <v>1</v>
      </c>
      <c r="AA23" s="706">
        <v>5560657465.0330696</v>
      </c>
      <c r="AB23" s="707">
        <f>'Energy data by fuel cycle'!$G$14</f>
        <v>2724665436.5720725</v>
      </c>
      <c r="AD23" s="16" t="s">
        <v>892</v>
      </c>
      <c r="AE23" s="419">
        <f>SUM(C26:C27)</f>
        <v>1631958102.0485168</v>
      </c>
      <c r="AF23" s="419">
        <f>SUM(O26)</f>
        <v>70591287682.851547</v>
      </c>
    </row>
    <row r="24" spans="1:32" ht="15" customHeight="1" thickTop="1">
      <c r="A24" s="232"/>
      <c r="B24" s="232"/>
      <c r="C24" s="284"/>
      <c r="D24" s="284"/>
      <c r="E24" s="284"/>
      <c r="F24" s="319"/>
      <c r="G24" s="240"/>
      <c r="H24" s="240"/>
      <c r="I24" s="240"/>
      <c r="J24" s="425"/>
      <c r="K24" s="299"/>
      <c r="L24" s="300"/>
      <c r="M24" s="240"/>
      <c r="N24" s="425"/>
      <c r="O24" s="679"/>
      <c r="P24" s="284"/>
      <c r="Q24" s="284"/>
      <c r="R24" s="319"/>
      <c r="S24" s="240"/>
      <c r="T24" s="240"/>
      <c r="U24" s="240"/>
      <c r="V24" s="425"/>
      <c r="W24" s="299"/>
      <c r="X24" s="300"/>
      <c r="Y24" s="240"/>
      <c r="Z24" s="425"/>
      <c r="AA24" s="706"/>
      <c r="AB24" s="707"/>
      <c r="AD24" s="16" t="s">
        <v>893</v>
      </c>
      <c r="AE24" s="18">
        <f>SUM(C30:C31)</f>
        <v>9019152.2268374637</v>
      </c>
      <c r="AF24" s="18">
        <f>SUM(O30:O31)</f>
        <v>9019152.2268374637</v>
      </c>
    </row>
    <row r="25" spans="1:32" ht="15" customHeight="1" thickBot="1">
      <c r="A25" s="222" t="s">
        <v>68</v>
      </c>
      <c r="B25" s="232"/>
      <c r="C25" s="284"/>
      <c r="D25" s="320"/>
      <c r="E25" s="284"/>
      <c r="F25" s="240"/>
      <c r="G25" s="240"/>
      <c r="H25" s="240"/>
      <c r="I25" s="240"/>
      <c r="J25" s="425"/>
      <c r="K25" s="299"/>
      <c r="L25" s="300"/>
      <c r="M25" s="240"/>
      <c r="N25" s="425"/>
      <c r="O25" s="679"/>
      <c r="P25" s="284"/>
      <c r="Q25" s="284"/>
      <c r="R25" s="240"/>
      <c r="S25" s="240"/>
      <c r="T25" s="240"/>
      <c r="U25" s="240"/>
      <c r="V25" s="425"/>
      <c r="W25" s="299"/>
      <c r="X25" s="300"/>
      <c r="Y25" s="240"/>
      <c r="Z25" s="425"/>
      <c r="AA25" s="706"/>
      <c r="AB25" s="707"/>
    </row>
    <row r="26" spans="1:32" ht="15" customHeight="1" thickTop="1" thickBot="1">
      <c r="A26" s="232"/>
      <c r="B26" s="232" t="s">
        <v>487</v>
      </c>
      <c r="C26" s="243">
        <f>SUM('Sankey conversion input'!$E$91:$E$102)</f>
        <v>1631958102.0485168</v>
      </c>
      <c r="D26" s="243">
        <f>C26/AA26</f>
        <v>0.18551396006868134</v>
      </c>
      <c r="E26" s="243">
        <f>C26/AB26</f>
        <v>0.59895724449079468</v>
      </c>
      <c r="F26" s="240">
        <f>SUM('Sankey conversion input'!$E$91,'Sankey conversion input'!$E$95,'Sankey conversion input'!$E$99)/$C$26</f>
        <v>0.85929722378253781</v>
      </c>
      <c r="G26" s="240">
        <f>SUM('Sankey conversion input'!$E$92,'Sankey conversion input'!$E$96,'Sankey conversion input'!$E$100)/$C$26</f>
        <v>6.3526986208256156E-2</v>
      </c>
      <c r="H26" s="240">
        <f>SUM('Sankey conversion input'!$E$93,'Sankey conversion input'!$E$97,'Sankey conversion input'!$E$101)/$C$26</f>
        <v>7.7175790009206033E-2</v>
      </c>
      <c r="I26" s="240">
        <f>SUM('Sankey conversion input'!$E$94,'Sankey conversion input'!$E$98,'Sankey conversion input'!$E$102)/$C$26</f>
        <v>0</v>
      </c>
      <c r="J26" s="430">
        <f t="shared" si="2"/>
        <v>1</v>
      </c>
      <c r="K26" s="299">
        <f>SUM('Sankey conversion input'!$E$95:$E$98)/$C$26</f>
        <v>1.9810580531229686E-2</v>
      </c>
      <c r="L26" s="300">
        <f>SUM('Sankey conversion input'!$E$91:$E$94)/$C$26</f>
        <v>0.90565683831620425</v>
      </c>
      <c r="M26" s="240">
        <f>SUM('Sankey conversion input'!$E$99:$E$102)/$C$26</f>
        <v>7.4532581152566002E-2</v>
      </c>
      <c r="N26" s="430">
        <f>SUM(K26:M26)</f>
        <v>0.99999999999999989</v>
      </c>
      <c r="O26" s="677">
        <f>SUM('Sankey conversion input'!$D$91:$D$102)</f>
        <v>70591287682.851547</v>
      </c>
      <c r="P26" s="243">
        <f>O26/AA26</f>
        <v>8.0245131955011413</v>
      </c>
      <c r="Q26" s="243">
        <f>O26/AB26</f>
        <v>25.908240599133197</v>
      </c>
      <c r="R26" s="240">
        <f>SUM('Sankey conversion input'!$D$91,'Sankey conversion input'!$D$95,'Sankey conversion input'!$D$99)/$O$26</f>
        <v>0.73002251223575298</v>
      </c>
      <c r="S26" s="240">
        <f>SUM('Sankey conversion input'!$D$92,'Sankey conversion input'!$D$96,'Sankey conversion input'!$D$100)/$O$26</f>
        <v>9.5401385783582884E-2</v>
      </c>
      <c r="T26" s="240">
        <f>SUM('Sankey conversion input'!$D$93,'Sankey conversion input'!$D$97,'Sankey conversion input'!$D$101)/$O$26</f>
        <v>0.17457610198066428</v>
      </c>
      <c r="U26" s="240">
        <f>SUM('Sankey conversion input'!$D$94,'Sankey conversion input'!$D$98,'Sankey conversion input'!$D$102)/$O$26</f>
        <v>0</v>
      </c>
      <c r="V26" s="430">
        <f t="shared" si="3"/>
        <v>1.0000000000000002</v>
      </c>
      <c r="W26" s="299">
        <f>SUM('Sankey conversion input'!$D$95:$D$98)/$O$26</f>
        <v>6.7901537030035835E-4</v>
      </c>
      <c r="X26" s="300">
        <f>SUM('Sankey conversion input'!$D$91:$D$94)/$O$26</f>
        <v>0.98674913899184302</v>
      </c>
      <c r="Y26" s="240">
        <f>SUM('Sankey conversion input'!$D$99:$D$102)/$O$26</f>
        <v>1.2571845637856748E-2</v>
      </c>
      <c r="Z26" s="430">
        <f>SUM(W26:Y26)</f>
        <v>1.0000000000000002</v>
      </c>
      <c r="AA26" s="706">
        <f>'Energy data by fuel cycle'!$E$14</f>
        <v>8796955773.2708092</v>
      </c>
      <c r="AB26" s="707">
        <f>'Energy data by fuel cycle'!$G$14</f>
        <v>2724665436.5720725</v>
      </c>
    </row>
    <row r="27" spans="1:32" ht="15" customHeight="1" thickTop="1">
      <c r="A27" s="232"/>
      <c r="B27" s="232" t="s">
        <v>545</v>
      </c>
      <c r="C27" s="243" t="s">
        <v>412</v>
      </c>
      <c r="D27" s="284"/>
      <c r="E27" s="284"/>
      <c r="F27" s="232"/>
      <c r="G27" s="232"/>
      <c r="H27" s="232"/>
      <c r="I27" s="232"/>
      <c r="J27" s="431"/>
      <c r="K27" s="301"/>
      <c r="L27" s="244"/>
      <c r="M27" s="232"/>
      <c r="N27" s="431"/>
      <c r="O27" s="679"/>
      <c r="P27" s="284"/>
      <c r="Q27" s="284"/>
      <c r="R27" s="232"/>
      <c r="S27" s="232"/>
      <c r="T27" s="232"/>
      <c r="U27" s="232"/>
      <c r="V27" s="431"/>
      <c r="W27" s="301"/>
      <c r="X27" s="244"/>
      <c r="Y27" s="232"/>
      <c r="Z27" s="431"/>
      <c r="AA27" s="706"/>
      <c r="AB27" s="707"/>
    </row>
    <row r="28" spans="1:32" ht="15" customHeight="1">
      <c r="A28" s="232"/>
      <c r="B28" s="232"/>
      <c r="C28" s="284"/>
      <c r="D28" s="284"/>
      <c r="E28" s="284"/>
      <c r="F28" s="240"/>
      <c r="G28" s="240"/>
      <c r="H28" s="240"/>
      <c r="I28" s="240"/>
      <c r="J28" s="425"/>
      <c r="K28" s="299"/>
      <c r="L28" s="300"/>
      <c r="M28" s="240"/>
      <c r="N28" s="425"/>
      <c r="O28" s="679"/>
      <c r="P28" s="284"/>
      <c r="Q28" s="284"/>
      <c r="R28" s="240"/>
      <c r="S28" s="240"/>
      <c r="T28" s="240"/>
      <c r="U28" s="240"/>
      <c r="V28" s="425"/>
      <c r="W28" s="299"/>
      <c r="X28" s="300"/>
      <c r="Y28" s="240"/>
      <c r="Z28" s="425"/>
      <c r="AA28" s="706"/>
      <c r="AB28" s="707"/>
    </row>
    <row r="29" spans="1:32" ht="15" customHeight="1" thickBot="1">
      <c r="A29" s="218" t="s">
        <v>69</v>
      </c>
      <c r="B29" s="232"/>
      <c r="C29" s="284"/>
      <c r="D29" s="284"/>
      <c r="E29" s="284"/>
      <c r="F29" s="240"/>
      <c r="G29" s="240"/>
      <c r="H29" s="240"/>
      <c r="I29" s="240"/>
      <c r="J29" s="425"/>
      <c r="K29" s="299"/>
      <c r="L29" s="300"/>
      <c r="M29" s="240"/>
      <c r="N29" s="425"/>
      <c r="O29" s="679"/>
      <c r="P29" s="284"/>
      <c r="Q29" s="284"/>
      <c r="R29" s="240"/>
      <c r="S29" s="240"/>
      <c r="T29" s="240"/>
      <c r="U29" s="240"/>
      <c r="V29" s="425"/>
      <c r="W29" s="299"/>
      <c r="X29" s="300"/>
      <c r="Y29" s="240"/>
      <c r="Z29" s="425"/>
      <c r="AA29" s="706"/>
      <c r="AB29" s="707"/>
    </row>
    <row r="30" spans="1:32" ht="15" customHeight="1" thickTop="1" thickBot="1">
      <c r="A30" s="232"/>
      <c r="B30" s="232" t="s">
        <v>546</v>
      </c>
      <c r="C30" s="243">
        <v>9018558.006837463</v>
      </c>
      <c r="D30" s="243">
        <f>C30/AA30</f>
        <v>7.1796931258448699E-4</v>
      </c>
      <c r="E30" s="243">
        <f>C30/AB30</f>
        <v>3.3099689546411968E-3</v>
      </c>
      <c r="F30" s="240">
        <v>1</v>
      </c>
      <c r="G30" s="240"/>
      <c r="H30" s="240"/>
      <c r="I30" s="240"/>
      <c r="J30" s="430">
        <f t="shared" si="2"/>
        <v>1</v>
      </c>
      <c r="K30" s="299"/>
      <c r="L30" s="300">
        <v>1</v>
      </c>
      <c r="M30" s="240"/>
      <c r="N30" s="430">
        <f>SUM(K30:M30)</f>
        <v>1</v>
      </c>
      <c r="O30" s="677">
        <v>9018558.006837463</v>
      </c>
      <c r="P30" s="243">
        <f>O30/AA30</f>
        <v>7.1796931258448699E-4</v>
      </c>
      <c r="Q30" s="243">
        <f>O30/AB30</f>
        <v>3.3099689546411968E-3</v>
      </c>
      <c r="R30" s="240">
        <v>1</v>
      </c>
      <c r="S30" s="240"/>
      <c r="T30" s="240"/>
      <c r="U30" s="240"/>
      <c r="V30" s="430">
        <f t="shared" si="3"/>
        <v>1</v>
      </c>
      <c r="W30" s="299"/>
      <c r="X30" s="300">
        <v>1</v>
      </c>
      <c r="Y30" s="240"/>
      <c r="Z30" s="430">
        <f>SUM(W30:Y30)</f>
        <v>1</v>
      </c>
      <c r="AA30" s="706">
        <v>12561202615.155233</v>
      </c>
      <c r="AB30" s="707">
        <f>'Energy data by fuel cycle'!$G$14</f>
        <v>2724665436.5720725</v>
      </c>
    </row>
    <row r="31" spans="1:32" ht="15" customHeight="1" thickTop="1" thickBot="1">
      <c r="A31" s="232"/>
      <c r="B31" s="232" t="s">
        <v>547</v>
      </c>
      <c r="C31" s="243">
        <v>594.22</v>
      </c>
      <c r="D31" s="243">
        <f>C31/AA31</f>
        <v>3.0921301062135677E-6</v>
      </c>
      <c r="E31" s="243">
        <f>C31/AB31</f>
        <v>2.1808916134216972E-7</v>
      </c>
      <c r="F31" s="240">
        <v>1</v>
      </c>
      <c r="G31" s="240"/>
      <c r="H31" s="240"/>
      <c r="I31" s="240"/>
      <c r="J31" s="430">
        <f t="shared" si="2"/>
        <v>1</v>
      </c>
      <c r="K31" s="299">
        <v>1</v>
      </c>
      <c r="L31" s="300"/>
      <c r="M31" s="240"/>
      <c r="N31" s="430">
        <f>SUM(K31:M31)</f>
        <v>1</v>
      </c>
      <c r="O31" s="677">
        <v>594.22</v>
      </c>
      <c r="P31" s="243">
        <f>O31/AA31</f>
        <v>3.0921301062135677E-6</v>
      </c>
      <c r="Q31" s="243">
        <f>O31/AB31</f>
        <v>2.1808916134216972E-7</v>
      </c>
      <c r="R31" s="240">
        <v>1</v>
      </c>
      <c r="S31" s="240"/>
      <c r="T31" s="240"/>
      <c r="U31" s="240"/>
      <c r="V31" s="430">
        <f t="shared" si="3"/>
        <v>1</v>
      </c>
      <c r="W31" s="299">
        <v>1</v>
      </c>
      <c r="X31" s="300"/>
      <c r="Y31" s="240"/>
      <c r="Z31" s="430">
        <f>SUM(W31:Y31)</f>
        <v>1</v>
      </c>
      <c r="AA31" s="709">
        <v>192171732.62080014</v>
      </c>
      <c r="AB31" s="710">
        <f>'Energy data by fuel cycle'!$G$14</f>
        <v>2724665436.5720725</v>
      </c>
    </row>
    <row r="32" spans="1:32" ht="15" customHeight="1" thickTop="1">
      <c r="A32" s="232"/>
      <c r="B32" s="232"/>
      <c r="C32" s="232"/>
      <c r="D32" s="232"/>
      <c r="E32" s="232"/>
      <c r="F32" s="232"/>
      <c r="G32" s="232"/>
      <c r="H32" s="232"/>
      <c r="I32" s="232"/>
      <c r="J32" s="431"/>
      <c r="K32" s="232"/>
      <c r="L32" s="232"/>
      <c r="M32" s="232"/>
      <c r="N32" s="431"/>
      <c r="O32" s="232"/>
      <c r="P32" s="232"/>
      <c r="Q32" s="232"/>
      <c r="R32" s="232"/>
      <c r="S32" s="232"/>
      <c r="T32" s="232"/>
      <c r="U32" s="232"/>
      <c r="V32" s="431"/>
      <c r="W32" s="232"/>
      <c r="X32" s="232"/>
      <c r="Y32" s="232"/>
      <c r="Z32" s="431"/>
      <c r="AA32" s="232"/>
      <c r="AB32" s="232"/>
    </row>
    <row r="33" spans="1:28" ht="15" customHeight="1">
      <c r="A33" s="251" t="s">
        <v>414</v>
      </c>
      <c r="B33" s="232"/>
      <c r="C33" s="232"/>
      <c r="D33" s="232"/>
      <c r="E33" s="232"/>
      <c r="F33" s="232"/>
      <c r="G33" s="232"/>
      <c r="H33" s="232"/>
      <c r="I33" s="232"/>
      <c r="J33" s="431"/>
      <c r="K33" s="232"/>
      <c r="L33" s="232"/>
      <c r="M33" s="232"/>
      <c r="N33" s="431"/>
      <c r="O33" s="232"/>
      <c r="P33" s="232"/>
      <c r="Q33" s="232"/>
      <c r="R33" s="232"/>
      <c r="S33" s="232"/>
      <c r="T33" s="232"/>
      <c r="U33" s="232"/>
      <c r="V33" s="431"/>
      <c r="W33" s="232"/>
      <c r="X33" s="232"/>
      <c r="Y33" s="232"/>
      <c r="Z33" s="431"/>
      <c r="AA33" s="232"/>
      <c r="AB33" s="232"/>
    </row>
    <row r="34" spans="1:28" ht="15" customHeight="1">
      <c r="A34" s="232" t="s">
        <v>548</v>
      </c>
      <c r="B34" s="232"/>
      <c r="C34" s="232"/>
      <c r="D34" s="232"/>
      <c r="E34" s="232"/>
      <c r="F34" s="232"/>
      <c r="G34" s="232"/>
      <c r="H34" s="232"/>
      <c r="I34" s="232"/>
      <c r="J34" s="431"/>
      <c r="K34" s="232"/>
      <c r="L34" s="232"/>
      <c r="M34" s="232"/>
      <c r="N34" s="431"/>
      <c r="O34" s="232"/>
      <c r="P34" s="232"/>
      <c r="Q34" s="232"/>
      <c r="R34" s="232"/>
      <c r="S34" s="232"/>
      <c r="T34" s="232"/>
      <c r="U34" s="232"/>
      <c r="V34" s="232"/>
      <c r="W34" s="232"/>
      <c r="X34" s="232"/>
      <c r="Y34" s="232"/>
      <c r="Z34" s="232"/>
      <c r="AA34" s="232"/>
      <c r="AB34" s="232"/>
    </row>
    <row r="35" spans="1:28" ht="15" customHeight="1">
      <c r="A35" s="318">
        <v>483.35268970431065</v>
      </c>
      <c r="B35" s="232" t="s">
        <v>549</v>
      </c>
      <c r="C35" s="232"/>
      <c r="D35" s="232"/>
      <c r="E35" s="232"/>
      <c r="F35" s="232"/>
      <c r="G35" s="232"/>
      <c r="H35" s="232"/>
      <c r="I35" s="232"/>
      <c r="J35" s="431"/>
      <c r="K35" s="232"/>
      <c r="L35" s="232"/>
      <c r="M35" s="232"/>
      <c r="N35" s="431"/>
      <c r="O35" s="232"/>
      <c r="P35" s="232"/>
      <c r="Q35" s="232"/>
      <c r="R35" s="232"/>
      <c r="S35" s="232"/>
      <c r="T35" s="232"/>
      <c r="U35" s="232"/>
      <c r="V35" s="431"/>
      <c r="W35" s="232"/>
      <c r="X35" s="232"/>
      <c r="Y35" s="232"/>
      <c r="Z35" s="431"/>
      <c r="AA35" s="232"/>
      <c r="AB35" s="232"/>
    </row>
    <row r="36" spans="1:28" ht="15" customHeight="1">
      <c r="A36" s="232">
        <v>238</v>
      </c>
      <c r="B36" s="232" t="s">
        <v>550</v>
      </c>
      <c r="C36" s="232"/>
      <c r="D36" s="232"/>
      <c r="E36" s="232"/>
      <c r="F36" s="232"/>
      <c r="G36" s="232"/>
      <c r="H36" s="232"/>
      <c r="I36" s="232"/>
      <c r="J36" s="431"/>
      <c r="K36" s="232"/>
      <c r="L36" s="232"/>
      <c r="M36" s="232"/>
      <c r="N36" s="431"/>
      <c r="O36" s="232"/>
      <c r="P36" s="232"/>
      <c r="Q36" s="232"/>
      <c r="R36" s="232"/>
      <c r="S36" s="232"/>
      <c r="T36" s="232"/>
      <c r="U36" s="232"/>
      <c r="V36" s="431"/>
      <c r="W36" s="232"/>
      <c r="X36" s="232"/>
      <c r="Y36" s="232"/>
      <c r="Z36" s="428"/>
      <c r="AA36" s="232"/>
      <c r="AB36" s="232"/>
    </row>
    <row r="37" spans="1:28" ht="15" customHeight="1">
      <c r="A37" s="232">
        <v>16</v>
      </c>
      <c r="B37" s="232" t="s">
        <v>551</v>
      </c>
      <c r="C37" s="232"/>
      <c r="D37" s="232"/>
      <c r="E37" s="232"/>
      <c r="F37" s="232"/>
      <c r="G37" s="232"/>
      <c r="H37" s="232"/>
      <c r="I37" s="232"/>
      <c r="J37" s="431"/>
      <c r="K37" s="232"/>
      <c r="L37" s="232"/>
      <c r="M37" s="232"/>
      <c r="N37" s="431"/>
      <c r="O37" s="232"/>
      <c r="P37" s="232"/>
      <c r="Q37" s="232"/>
      <c r="R37" s="232"/>
      <c r="S37" s="232"/>
      <c r="T37" s="232"/>
      <c r="U37" s="232"/>
      <c r="V37" s="431"/>
      <c r="W37" s="232"/>
      <c r="X37" s="232"/>
      <c r="Y37" s="232"/>
      <c r="Z37" s="431"/>
      <c r="AA37" s="232"/>
      <c r="AB37" s="232"/>
    </row>
    <row r="38" spans="1:28" ht="15" customHeight="1">
      <c r="A38" s="232">
        <f>A36+A37*2</f>
        <v>270</v>
      </c>
      <c r="B38" s="232" t="s">
        <v>552</v>
      </c>
      <c r="C38" s="232"/>
      <c r="D38" s="232"/>
      <c r="E38" s="232"/>
      <c r="F38" s="232"/>
      <c r="G38" s="232"/>
      <c r="H38" s="232"/>
      <c r="I38" s="232"/>
      <c r="J38" s="431"/>
      <c r="K38" s="232"/>
      <c r="L38" s="232"/>
      <c r="M38" s="232"/>
      <c r="N38" s="431"/>
      <c r="O38" s="232"/>
      <c r="P38" s="232"/>
      <c r="Q38" s="232"/>
      <c r="R38" s="232"/>
      <c r="S38" s="232"/>
      <c r="T38" s="232"/>
      <c r="U38" s="232"/>
      <c r="V38" s="431"/>
      <c r="W38" s="232"/>
      <c r="X38" s="232"/>
      <c r="Y38" s="232"/>
      <c r="Z38" s="431"/>
      <c r="AA38" s="232"/>
      <c r="AB38" s="232"/>
    </row>
    <row r="39" spans="1:28" ht="15" customHeight="1">
      <c r="A39" s="318">
        <f>A36/A38</f>
        <v>0.88148148148148153</v>
      </c>
      <c r="B39" s="232" t="s">
        <v>553</v>
      </c>
      <c r="C39" s="232"/>
      <c r="D39" s="232"/>
      <c r="E39" s="232"/>
      <c r="F39" s="232"/>
      <c r="G39" s="232"/>
      <c r="H39" s="232"/>
      <c r="I39" s="232"/>
      <c r="J39" s="431"/>
      <c r="K39" s="232"/>
      <c r="L39" s="232"/>
      <c r="M39" s="232"/>
      <c r="N39" s="431"/>
      <c r="O39" s="232"/>
      <c r="P39" s="232"/>
      <c r="Q39" s="232"/>
      <c r="R39" s="232"/>
      <c r="S39" s="232"/>
      <c r="T39" s="232"/>
      <c r="U39" s="232"/>
      <c r="V39" s="431"/>
      <c r="W39" s="232"/>
      <c r="X39" s="232"/>
      <c r="Y39" s="232"/>
      <c r="Z39" s="431"/>
      <c r="AA39" s="232"/>
      <c r="AB39" s="232"/>
    </row>
    <row r="40" spans="1:28" ht="15" customHeight="1">
      <c r="A40" s="232">
        <f>A36*3+A37*8</f>
        <v>842</v>
      </c>
      <c r="B40" s="232" t="s">
        <v>554</v>
      </c>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54"/>
    </row>
    <row r="41" spans="1:28" ht="15" customHeight="1">
      <c r="A41" s="318">
        <f>A36*3/A40</f>
        <v>0.84798099762470314</v>
      </c>
      <c r="B41" s="232" t="s">
        <v>555</v>
      </c>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54"/>
    </row>
    <row r="42" spans="1:28" ht="15" customHeight="1">
      <c r="A42" s="253">
        <f>A39/A41</f>
        <v>1.0395061728395061</v>
      </c>
      <c r="B42" s="232" t="s">
        <v>556</v>
      </c>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54"/>
    </row>
    <row r="43" spans="1:28" ht="15" customHeight="1"/>
    <row r="44" spans="1:28" ht="15" customHeight="1"/>
    <row r="45" spans="1:28" ht="15" customHeight="1"/>
    <row r="46" spans="1:28" ht="15" customHeight="1"/>
    <row r="47" spans="1:28" ht="15" customHeight="1">
      <c r="B47" s="14"/>
    </row>
    <row r="48" spans="1:2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13416D"/>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1" width="12.6640625" style="16" hidden="1" customWidth="1"/>
    <col min="32" max="32" width="16.33203125" style="16" hidden="1" customWidth="1"/>
    <col min="33" max="16384" width="10.83203125" style="16"/>
  </cols>
  <sheetData>
    <row r="1" spans="1:32" ht="30">
      <c r="A1" s="312" t="s">
        <v>557</v>
      </c>
      <c r="B1" s="313"/>
      <c r="C1" s="416"/>
      <c r="D1" s="416"/>
      <c r="E1" s="314"/>
      <c r="F1" s="313"/>
      <c r="G1" s="313"/>
      <c r="H1" s="313"/>
      <c r="I1" s="313"/>
      <c r="J1" s="400"/>
      <c r="K1" s="313"/>
      <c r="L1" s="313"/>
      <c r="M1" s="313"/>
      <c r="N1" s="400"/>
      <c r="O1" s="313"/>
      <c r="P1" s="313"/>
      <c r="Q1" s="416"/>
      <c r="R1" s="416"/>
      <c r="S1" s="313"/>
      <c r="T1" s="313"/>
      <c r="U1" s="313"/>
      <c r="V1" s="400"/>
      <c r="W1" s="313"/>
      <c r="X1" s="313"/>
      <c r="Y1" s="313"/>
      <c r="Z1" s="400"/>
      <c r="AA1" s="313"/>
      <c r="AB1" s="313"/>
    </row>
    <row r="2" spans="1:32" ht="30">
      <c r="A2" s="312"/>
      <c r="B2" s="313"/>
      <c r="C2" s="313"/>
      <c r="D2" s="313"/>
      <c r="E2" s="314"/>
      <c r="F2" s="313"/>
      <c r="G2" s="313"/>
      <c r="H2" s="313"/>
      <c r="I2" s="313"/>
      <c r="J2" s="400"/>
      <c r="K2" s="313"/>
      <c r="L2" s="313"/>
      <c r="M2" s="313"/>
      <c r="N2" s="400"/>
      <c r="O2" s="313"/>
      <c r="P2" s="313"/>
      <c r="Q2" s="313"/>
      <c r="R2" s="313"/>
      <c r="S2" s="313"/>
      <c r="T2" s="313"/>
      <c r="U2" s="313"/>
      <c r="V2" s="400"/>
      <c r="W2" s="313"/>
      <c r="X2" s="313"/>
      <c r="Y2" s="313"/>
      <c r="Z2" s="400"/>
      <c r="AA2" s="313"/>
      <c r="AB2" s="313"/>
    </row>
    <row r="3" spans="1:32" ht="30">
      <c r="A3" s="312"/>
      <c r="B3" s="313"/>
      <c r="C3" s="313"/>
      <c r="D3" s="313"/>
      <c r="E3" s="314"/>
      <c r="F3" s="313"/>
      <c r="G3" s="313"/>
      <c r="H3" s="313"/>
      <c r="I3" s="313"/>
      <c r="J3" s="400"/>
      <c r="K3" s="313"/>
      <c r="L3" s="313"/>
      <c r="M3" s="313"/>
      <c r="N3" s="400"/>
      <c r="O3" s="313"/>
      <c r="P3" s="313"/>
      <c r="Q3" s="313"/>
      <c r="R3" s="313"/>
      <c r="S3" s="313"/>
      <c r="T3" s="313"/>
      <c r="U3" s="313"/>
      <c r="V3" s="400"/>
      <c r="W3" s="313"/>
      <c r="X3" s="313"/>
      <c r="Y3" s="313"/>
      <c r="Z3" s="400"/>
      <c r="AA3" s="313"/>
      <c r="AB3" s="313"/>
    </row>
    <row r="4" spans="1:32" ht="30">
      <c r="A4" s="312"/>
      <c r="B4" s="313"/>
      <c r="C4" s="313"/>
      <c r="D4" s="313"/>
      <c r="E4" s="314"/>
      <c r="F4" s="313"/>
      <c r="G4" s="313"/>
      <c r="H4" s="313"/>
      <c r="I4" s="313"/>
      <c r="J4" s="400"/>
      <c r="K4" s="313"/>
      <c r="L4" s="313"/>
      <c r="M4" s="313"/>
      <c r="N4" s="400"/>
      <c r="O4" s="313"/>
      <c r="P4" s="313"/>
      <c r="Q4" s="313"/>
      <c r="R4" s="313"/>
      <c r="S4" s="313"/>
      <c r="T4" s="313"/>
      <c r="U4" s="313"/>
      <c r="V4" s="400"/>
      <c r="W4" s="313"/>
      <c r="X4" s="313"/>
      <c r="Y4" s="313"/>
      <c r="Z4" s="400"/>
      <c r="AA4" s="313"/>
      <c r="AB4" s="313"/>
    </row>
    <row r="5" spans="1:32" ht="30">
      <c r="A5" s="312"/>
      <c r="B5" s="313"/>
      <c r="C5" s="313"/>
      <c r="D5" s="313"/>
      <c r="E5" s="314"/>
      <c r="F5" s="313"/>
      <c r="G5" s="313"/>
      <c r="H5" s="313"/>
      <c r="I5" s="313"/>
      <c r="J5" s="400"/>
      <c r="K5" s="313"/>
      <c r="L5" s="313"/>
      <c r="M5" s="313"/>
      <c r="N5" s="400"/>
      <c r="O5" s="313"/>
      <c r="P5" s="313"/>
      <c r="Q5" s="313"/>
      <c r="R5" s="313"/>
      <c r="S5" s="313"/>
      <c r="T5" s="313"/>
      <c r="U5" s="313"/>
      <c r="V5" s="400"/>
      <c r="W5" s="313"/>
      <c r="X5" s="313"/>
      <c r="Y5" s="313"/>
      <c r="Z5" s="400"/>
      <c r="AA5" s="313"/>
      <c r="AB5" s="313"/>
    </row>
    <row r="6" spans="1:32" ht="30">
      <c r="A6" s="312"/>
      <c r="B6" s="313"/>
      <c r="C6" s="313"/>
      <c r="D6" s="313"/>
      <c r="E6" s="314"/>
      <c r="F6" s="313"/>
      <c r="G6" s="313"/>
      <c r="H6" s="313"/>
      <c r="I6" s="313"/>
      <c r="J6" s="400"/>
      <c r="K6" s="313"/>
      <c r="L6" s="313"/>
      <c r="M6" s="313"/>
      <c r="N6" s="400"/>
      <c r="O6" s="313"/>
      <c r="P6" s="313"/>
      <c r="Q6" s="313"/>
      <c r="R6" s="313"/>
      <c r="S6" s="313"/>
      <c r="T6" s="313"/>
      <c r="U6" s="313"/>
      <c r="V6" s="400"/>
      <c r="W6" s="313"/>
      <c r="X6" s="313"/>
      <c r="Y6" s="313"/>
      <c r="Z6" s="400"/>
      <c r="AA6" s="313"/>
      <c r="AB6" s="313"/>
    </row>
    <row r="7" spans="1:32" ht="30">
      <c r="A7" s="312"/>
      <c r="B7" s="313"/>
      <c r="C7" s="313"/>
      <c r="D7" s="313"/>
      <c r="E7" s="314"/>
      <c r="F7" s="313"/>
      <c r="G7" s="313"/>
      <c r="H7" s="313"/>
      <c r="I7" s="313"/>
      <c r="J7" s="400"/>
      <c r="K7" s="313"/>
      <c r="L7" s="313"/>
      <c r="M7" s="313"/>
      <c r="N7" s="400"/>
      <c r="O7" s="313"/>
      <c r="P7" s="313"/>
      <c r="Q7" s="313"/>
      <c r="R7" s="313"/>
      <c r="S7" s="313"/>
      <c r="T7" s="313"/>
      <c r="U7" s="313"/>
      <c r="V7" s="400"/>
      <c r="W7" s="313"/>
      <c r="X7" s="313"/>
      <c r="Y7" s="313"/>
      <c r="Z7" s="400"/>
      <c r="AA7" s="313"/>
      <c r="AB7" s="313"/>
    </row>
    <row r="8" spans="1:32" ht="30">
      <c r="A8" s="312"/>
      <c r="B8" s="313"/>
      <c r="C8" s="313"/>
      <c r="D8" s="313"/>
      <c r="E8" s="314"/>
      <c r="F8" s="313"/>
      <c r="G8" s="313"/>
      <c r="H8" s="313"/>
      <c r="I8" s="313"/>
      <c r="J8" s="400"/>
      <c r="K8" s="313"/>
      <c r="L8" s="313"/>
      <c r="M8" s="313"/>
      <c r="N8" s="400"/>
      <c r="O8" s="313"/>
      <c r="P8" s="313"/>
      <c r="Q8" s="313"/>
      <c r="R8" s="313"/>
      <c r="S8" s="313"/>
      <c r="T8" s="313"/>
      <c r="U8" s="313"/>
      <c r="V8" s="400"/>
      <c r="W8" s="313"/>
      <c r="X8" s="313"/>
      <c r="Y8" s="313"/>
      <c r="Z8" s="400"/>
      <c r="AA8" s="313"/>
      <c r="AB8" s="313"/>
    </row>
    <row r="9" spans="1:32" ht="31" thickBot="1">
      <c r="A9" s="312"/>
      <c r="B9" s="313"/>
      <c r="C9" s="313"/>
      <c r="D9" s="313"/>
      <c r="E9" s="314"/>
      <c r="F9" s="313"/>
      <c r="G9" s="313"/>
      <c r="H9" s="313"/>
      <c r="I9" s="313"/>
      <c r="J9" s="400"/>
      <c r="K9" s="313"/>
      <c r="L9" s="313"/>
      <c r="M9" s="313"/>
      <c r="N9" s="400"/>
      <c r="O9" s="313"/>
      <c r="P9" s="313"/>
      <c r="Q9" s="313"/>
      <c r="R9" s="313"/>
      <c r="S9" s="313"/>
      <c r="T9" s="313"/>
      <c r="U9" s="313"/>
      <c r="V9" s="400"/>
      <c r="W9" s="313"/>
      <c r="X9" s="313"/>
      <c r="Y9" s="313"/>
      <c r="Z9" s="400"/>
      <c r="AA9" s="313"/>
      <c r="AB9" s="313"/>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2346976960</v>
      </c>
      <c r="AF11" s="18">
        <f>X13*O13</f>
        <v>20002346976960</v>
      </c>
    </row>
    <row r="12" spans="1:32" ht="15" customHeight="1" thickBot="1">
      <c r="A12" s="268"/>
      <c r="B12" s="268" t="s">
        <v>48</v>
      </c>
      <c r="C12" s="269">
        <f>SUM(C15:C19)</f>
        <v>2346976960</v>
      </c>
      <c r="D12" s="269"/>
      <c r="E12" s="269">
        <f>SUM(E15:E19)</f>
        <v>2.6474617374230047</v>
      </c>
      <c r="F12" s="270"/>
      <c r="G12" s="270"/>
      <c r="H12" s="270"/>
      <c r="I12" s="270"/>
      <c r="J12" s="270"/>
      <c r="K12" s="501"/>
      <c r="L12" s="270"/>
      <c r="M12" s="270"/>
      <c r="N12" s="270"/>
      <c r="O12" s="696">
        <f>SUM(O15:O19)</f>
        <v>20002346976960</v>
      </c>
      <c r="P12" s="268"/>
      <c r="Q12" s="269">
        <f>SUM(Q15:Q19)</f>
        <v>22563.25868668106</v>
      </c>
      <c r="R12" s="270"/>
      <c r="S12" s="270"/>
      <c r="T12" s="270"/>
      <c r="U12" s="270"/>
      <c r="V12" s="270"/>
      <c r="W12" s="501"/>
      <c r="X12" s="270"/>
      <c r="Y12" s="270"/>
      <c r="Z12" s="270"/>
      <c r="AA12" s="235"/>
      <c r="AB12" s="236"/>
      <c r="AD12" s="16" t="s">
        <v>887</v>
      </c>
      <c r="AE12" s="18">
        <f>K13*C13</f>
        <v>0</v>
      </c>
      <c r="AF12" s="18">
        <f>W13*O13</f>
        <v>0</v>
      </c>
    </row>
    <row r="13" spans="1:32" ht="15" customHeight="1" thickTop="1" thickBot="1">
      <c r="A13" s="271"/>
      <c r="B13" s="271" t="s">
        <v>870</v>
      </c>
      <c r="C13" s="272">
        <f>SUM(C15:C19)</f>
        <v>2346976960</v>
      </c>
      <c r="D13" s="272"/>
      <c r="E13" s="272">
        <f>SUM(E15:E19)</f>
        <v>2.6474617374230047</v>
      </c>
      <c r="F13" s="282">
        <f>SUMPRODUCT(F15:F19,$C$15:$C$19)/SUM($C$15:$C$19)</f>
        <v>1</v>
      </c>
      <c r="G13" s="282">
        <f t="shared" ref="G13:M13" si="0">SUMPRODUCT(G15:G19,$C$15:$C$19)/SUM($C$15:$C$19)</f>
        <v>0</v>
      </c>
      <c r="H13" s="282">
        <f t="shared" si="0"/>
        <v>0</v>
      </c>
      <c r="I13" s="282">
        <f t="shared" si="0"/>
        <v>0</v>
      </c>
      <c r="J13" s="430">
        <f>SUM(F13:I13)</f>
        <v>1</v>
      </c>
      <c r="K13" s="393">
        <f t="shared" si="0"/>
        <v>0</v>
      </c>
      <c r="L13" s="282">
        <f>SUMPRODUCT(L15:L19,$C$15:$C$19)/SUM($C$15:$C$19)</f>
        <v>1</v>
      </c>
      <c r="M13" s="282">
        <f t="shared" si="0"/>
        <v>0</v>
      </c>
      <c r="N13" s="430">
        <f>SUM(K13:M13)</f>
        <v>1</v>
      </c>
      <c r="O13" s="697">
        <f>SUM(O15:O19)</f>
        <v>20002346976960</v>
      </c>
      <c r="P13" s="271"/>
      <c r="Q13" s="272">
        <f>SUM(Q15:Q19)</f>
        <v>22563.25868668106</v>
      </c>
      <c r="R13" s="282">
        <f>SUMPRODUCT(R15:R19,$O$15:$O$19)/SUM($O$15:$O$19)</f>
        <v>1</v>
      </c>
      <c r="S13" s="282">
        <f t="shared" ref="S13:Y13" si="1">SUMPRODUCT(S15:S19,$O$15:$O$19)/SUM($O$15:$O$19)</f>
        <v>0</v>
      </c>
      <c r="T13" s="282">
        <f t="shared" si="1"/>
        <v>0</v>
      </c>
      <c r="U13" s="282">
        <f t="shared" si="1"/>
        <v>0</v>
      </c>
      <c r="V13" s="430">
        <f>SUM(R13:U13)</f>
        <v>1</v>
      </c>
      <c r="W13" s="393">
        <f t="shared" si="1"/>
        <v>0</v>
      </c>
      <c r="X13" s="282">
        <f>SUMPRODUCT(X15:X19,$O$15:$O$19)/SUM($O$15:$O$19)</f>
        <v>1</v>
      </c>
      <c r="Y13" s="282">
        <f t="shared" si="1"/>
        <v>0</v>
      </c>
      <c r="Z13" s="430">
        <f>SUM(W13:Y13)</f>
        <v>1</v>
      </c>
      <c r="AA13" s="702"/>
      <c r="AB13" s="703"/>
      <c r="AD13" s="16" t="s">
        <v>888</v>
      </c>
      <c r="AE13" s="18">
        <f>M13*C13</f>
        <v>0</v>
      </c>
      <c r="AF13" s="18">
        <f>Y13*O13</f>
        <v>0</v>
      </c>
    </row>
    <row r="14" spans="1:32" ht="15" customHeight="1" thickTop="1" thickBot="1">
      <c r="A14" s="224" t="s">
        <v>591</v>
      </c>
      <c r="B14" s="232"/>
      <c r="C14" s="232"/>
      <c r="D14" s="232"/>
      <c r="E14" s="232"/>
      <c r="F14" s="232"/>
      <c r="G14" s="232"/>
      <c r="H14" s="232"/>
      <c r="I14" s="232"/>
      <c r="J14" s="232"/>
      <c r="K14" s="301"/>
      <c r="L14" s="244"/>
      <c r="M14" s="232"/>
      <c r="N14" s="232"/>
      <c r="O14" s="680"/>
      <c r="P14" s="232"/>
      <c r="Q14" s="232"/>
      <c r="R14" s="232"/>
      <c r="S14" s="232"/>
      <c r="T14" s="232"/>
      <c r="U14" s="232"/>
      <c r="V14" s="232"/>
      <c r="W14" s="301"/>
      <c r="X14" s="244"/>
      <c r="Y14" s="232"/>
      <c r="Z14" s="232"/>
      <c r="AA14" s="704"/>
      <c r="AB14" s="705"/>
      <c r="AE14" s="18"/>
      <c r="AF14" s="18"/>
    </row>
    <row r="15" spans="1:32" ht="15" customHeight="1" thickTop="1" thickBot="1">
      <c r="A15" s="223"/>
      <c r="B15" s="232" t="s">
        <v>558</v>
      </c>
      <c r="C15" s="243">
        <v>1600000000</v>
      </c>
      <c r="D15" s="243">
        <v>1.7</v>
      </c>
      <c r="E15" s="243">
        <f>C15/AB15</f>
        <v>1.8048488979954909</v>
      </c>
      <c r="F15" s="240">
        <v>1</v>
      </c>
      <c r="G15" s="240"/>
      <c r="H15" s="240"/>
      <c r="I15" s="240"/>
      <c r="J15" s="430">
        <f>SUM(F15:I15)</f>
        <v>1</v>
      </c>
      <c r="K15" s="299"/>
      <c r="L15" s="300">
        <v>1</v>
      </c>
      <c r="M15" s="240"/>
      <c r="N15" s="430">
        <f>SUM(K15:M15)</f>
        <v>1</v>
      </c>
      <c r="O15" s="677">
        <f>C15</f>
        <v>1600000000</v>
      </c>
      <c r="P15" s="243">
        <f>D15</f>
        <v>1.7</v>
      </c>
      <c r="Q15" s="243">
        <f>O15/AB15</f>
        <v>1.8048488979954909</v>
      </c>
      <c r="R15" s="240">
        <v>1</v>
      </c>
      <c r="S15" s="240"/>
      <c r="T15" s="240"/>
      <c r="U15" s="240"/>
      <c r="V15" s="430">
        <f>SUM(R15:U15)</f>
        <v>1</v>
      </c>
      <c r="W15" s="299"/>
      <c r="X15" s="300">
        <v>1</v>
      </c>
      <c r="Y15" s="240"/>
      <c r="Z15" s="430">
        <f>SUM(W15:Y15)</f>
        <v>1</v>
      </c>
      <c r="AA15" s="706">
        <f>'Energy data by fuel cycle'!$E$15</f>
        <v>933721200</v>
      </c>
      <c r="AB15" s="707">
        <f>'Energy data by fuel cycle'!$G$15</f>
        <v>886500804.45903194</v>
      </c>
      <c r="AD15" s="16" t="s">
        <v>267</v>
      </c>
      <c r="AE15" s="18">
        <f>F13*C13</f>
        <v>2346976960</v>
      </c>
      <c r="AF15" s="18">
        <f>R13*O13</f>
        <v>20002346976960</v>
      </c>
    </row>
    <row r="16" spans="1:32" ht="15" customHeight="1" thickTop="1" thickBot="1">
      <c r="A16" s="223"/>
      <c r="B16" s="232" t="s">
        <v>559</v>
      </c>
      <c r="C16" s="243">
        <f>D16*AA16</f>
        <v>746976960</v>
      </c>
      <c r="D16" s="243">
        <v>0.8</v>
      </c>
      <c r="E16" s="243">
        <f>C16/AB16</f>
        <v>0.84261283942751375</v>
      </c>
      <c r="F16" s="240">
        <v>1</v>
      </c>
      <c r="G16" s="240"/>
      <c r="H16" s="240"/>
      <c r="I16" s="240"/>
      <c r="J16" s="430">
        <f>SUM(F16:I16)</f>
        <v>1</v>
      </c>
      <c r="K16" s="299"/>
      <c r="L16" s="300">
        <v>1</v>
      </c>
      <c r="M16" s="240"/>
      <c r="N16" s="430">
        <f>SUM(K16:M16)</f>
        <v>1</v>
      </c>
      <c r="O16" s="677">
        <f>AA16*P16</f>
        <v>746976960</v>
      </c>
      <c r="P16" s="243">
        <v>0.8</v>
      </c>
      <c r="Q16" s="243">
        <f>O16/AB16</f>
        <v>0.84261283942751375</v>
      </c>
      <c r="R16" s="240">
        <v>1</v>
      </c>
      <c r="S16" s="240"/>
      <c r="T16" s="240"/>
      <c r="U16" s="240"/>
      <c r="V16" s="430">
        <f>SUM(R16:U16)</f>
        <v>1</v>
      </c>
      <c r="W16" s="299"/>
      <c r="X16" s="300">
        <v>1</v>
      </c>
      <c r="Y16" s="240"/>
      <c r="Z16" s="430">
        <f>SUM(W16:Y16)</f>
        <v>1</v>
      </c>
      <c r="AA16" s="706">
        <f>'Energy data by fuel cycle'!$E$15</f>
        <v>933721200</v>
      </c>
      <c r="AB16" s="707">
        <f>'Energy data by fuel cycle'!$G$15</f>
        <v>886500804.45903194</v>
      </c>
      <c r="AD16" s="16" t="s">
        <v>654</v>
      </c>
      <c r="AE16" s="18">
        <f>G13*C13</f>
        <v>0</v>
      </c>
      <c r="AF16" s="18">
        <f>S13*O13</f>
        <v>0</v>
      </c>
    </row>
    <row r="17" spans="1:32" ht="15" customHeight="1" thickTop="1">
      <c r="B17" s="232"/>
      <c r="C17" s="284"/>
      <c r="D17" s="284"/>
      <c r="E17" s="284"/>
      <c r="F17" s="232"/>
      <c r="G17" s="240"/>
      <c r="H17" s="240"/>
      <c r="I17" s="240"/>
      <c r="J17" s="425"/>
      <c r="K17" s="299"/>
      <c r="L17" s="300"/>
      <c r="M17" s="240"/>
      <c r="N17" s="425"/>
      <c r="O17" s="679"/>
      <c r="P17" s="284"/>
      <c r="Q17" s="284"/>
      <c r="R17" s="240"/>
      <c r="S17" s="240"/>
      <c r="T17" s="240"/>
      <c r="U17" s="240"/>
      <c r="V17" s="425"/>
      <c r="W17" s="299"/>
      <c r="X17" s="300"/>
      <c r="Y17" s="240"/>
      <c r="Z17" s="425"/>
      <c r="AA17" s="706"/>
      <c r="AB17" s="707"/>
      <c r="AD17" s="16" t="s">
        <v>889</v>
      </c>
      <c r="AE17" s="18">
        <f>H13*C13</f>
        <v>0</v>
      </c>
      <c r="AF17" s="18">
        <f>T13*O13</f>
        <v>0</v>
      </c>
    </row>
    <row r="18" spans="1:32" ht="15" customHeight="1" thickBot="1">
      <c r="A18" s="222" t="s">
        <v>68</v>
      </c>
      <c r="B18" s="232"/>
      <c r="C18" s="284"/>
      <c r="D18" s="284"/>
      <c r="E18" s="284"/>
      <c r="F18" s="232"/>
      <c r="G18" s="240"/>
      <c r="H18" s="240"/>
      <c r="I18" s="240"/>
      <c r="J18" s="425"/>
      <c r="K18" s="299"/>
      <c r="L18" s="300"/>
      <c r="M18" s="240"/>
      <c r="N18" s="425"/>
      <c r="O18" s="679"/>
      <c r="P18" s="284"/>
      <c r="Q18" s="284"/>
      <c r="R18" s="240"/>
      <c r="S18" s="240"/>
      <c r="T18" s="240"/>
      <c r="U18" s="240"/>
      <c r="V18" s="425"/>
      <c r="W18" s="299"/>
      <c r="X18" s="300"/>
      <c r="Y18" s="240"/>
      <c r="Z18" s="425"/>
      <c r="AA18" s="706"/>
      <c r="AB18" s="707"/>
      <c r="AD18" s="16" t="s">
        <v>890</v>
      </c>
      <c r="AE18" s="18">
        <f>I13*C13</f>
        <v>0</v>
      </c>
      <c r="AF18" s="18">
        <f>U13*O13</f>
        <v>0</v>
      </c>
    </row>
    <row r="19" spans="1:32" ht="15" customHeight="1" thickTop="1" thickBot="1">
      <c r="A19" s="232"/>
      <c r="B19" s="232" t="s">
        <v>560</v>
      </c>
      <c r="C19" s="382">
        <v>0</v>
      </c>
      <c r="D19" s="306"/>
      <c r="E19" s="306"/>
      <c r="F19" s="240">
        <v>1</v>
      </c>
      <c r="G19" s="240"/>
      <c r="H19" s="240"/>
      <c r="I19" s="240"/>
      <c r="J19" s="430">
        <f>SUM(F19:I19)</f>
        <v>1</v>
      </c>
      <c r="K19" s="299"/>
      <c r="L19" s="300">
        <v>1</v>
      </c>
      <c r="M19" s="240"/>
      <c r="N19" s="430">
        <f>SUM(K19:M19)</f>
        <v>1</v>
      </c>
      <c r="O19" s="677">
        <v>20000000000000</v>
      </c>
      <c r="P19" s="243">
        <f>O19/AA19</f>
        <v>21419.670025699321</v>
      </c>
      <c r="Q19" s="243">
        <f>O19/AB19</f>
        <v>22560.611224943637</v>
      </c>
      <c r="R19" s="240">
        <v>1</v>
      </c>
      <c r="S19" s="240"/>
      <c r="T19" s="240"/>
      <c r="U19" s="240"/>
      <c r="V19" s="430">
        <f>SUM(R19:U19)</f>
        <v>1</v>
      </c>
      <c r="W19" s="299"/>
      <c r="X19" s="300">
        <v>1</v>
      </c>
      <c r="Y19" s="240"/>
      <c r="Z19" s="430">
        <f>SUM(W19:Y19)</f>
        <v>1</v>
      </c>
      <c r="AA19" s="709">
        <f>'Energy data by fuel cycle'!$E$15</f>
        <v>933721200</v>
      </c>
      <c r="AB19" s="710">
        <f>'Energy data by fuel cycle'!$G$15</f>
        <v>886500804.45903194</v>
      </c>
    </row>
    <row r="20" spans="1:32" ht="15" customHeight="1" thickTop="1">
      <c r="F20" s="31"/>
      <c r="G20" s="31"/>
      <c r="H20" s="31"/>
      <c r="I20" s="498"/>
      <c r="J20" s="517"/>
      <c r="K20" s="498"/>
      <c r="L20" s="498"/>
      <c r="M20" s="498"/>
      <c r="N20" s="517"/>
      <c r="O20" s="17"/>
      <c r="P20" s="17"/>
      <c r="Q20" s="17"/>
      <c r="R20" s="498"/>
      <c r="S20" s="498"/>
      <c r="T20" s="498"/>
      <c r="U20" s="498"/>
      <c r="V20" s="517"/>
      <c r="W20" s="498"/>
      <c r="X20" s="498"/>
      <c r="Y20" s="498"/>
      <c r="Z20" s="517"/>
      <c r="AA20" s="17"/>
      <c r="AB20" s="33"/>
      <c r="AD20" s="16" t="s">
        <v>614</v>
      </c>
      <c r="AE20" s="419">
        <f>SUM(C15:C16)</f>
        <v>2346976960</v>
      </c>
      <c r="AF20" s="419">
        <f>SUM(O15:O16)</f>
        <v>2346976960</v>
      </c>
    </row>
    <row r="21" spans="1:32" ht="15" customHeight="1">
      <c r="I21" s="17"/>
      <c r="J21" s="514"/>
      <c r="K21" s="17"/>
      <c r="L21" s="17"/>
      <c r="M21" s="17"/>
      <c r="N21" s="514"/>
      <c r="O21" s="17"/>
      <c r="P21" s="17"/>
      <c r="Q21" s="17"/>
      <c r="R21" s="17"/>
      <c r="S21" s="17"/>
      <c r="T21" s="17"/>
      <c r="U21" s="17"/>
      <c r="V21" s="514"/>
      <c r="W21" s="17"/>
      <c r="X21" s="17"/>
      <c r="Y21" s="17"/>
      <c r="Z21" s="514"/>
      <c r="AA21" s="17"/>
      <c r="AD21" s="16" t="s">
        <v>82</v>
      </c>
    </row>
    <row r="22" spans="1:32" ht="15" customHeight="1">
      <c r="D22" s="34"/>
      <c r="I22" s="17"/>
      <c r="J22" s="514"/>
      <c r="K22" s="17"/>
      <c r="L22" s="17"/>
      <c r="M22" s="17"/>
      <c r="N22" s="514"/>
      <c r="O22" s="17"/>
      <c r="P22" s="17"/>
      <c r="Q22" s="17"/>
      <c r="R22" s="17"/>
      <c r="S22" s="17"/>
      <c r="T22" s="17"/>
      <c r="U22" s="17"/>
      <c r="V22" s="514"/>
      <c r="W22" s="17"/>
      <c r="X22" s="17"/>
      <c r="Y22" s="17"/>
      <c r="Z22" s="514"/>
      <c r="AA22" s="17"/>
      <c r="AD22" s="16" t="s">
        <v>891</v>
      </c>
    </row>
    <row r="23" spans="1:32" ht="15" customHeight="1">
      <c r="I23" s="17"/>
      <c r="J23" s="514"/>
      <c r="K23" s="17"/>
      <c r="L23" s="17"/>
      <c r="M23" s="17"/>
      <c r="N23" s="514"/>
      <c r="O23" s="17"/>
      <c r="P23" s="17"/>
      <c r="Q23" s="17"/>
      <c r="R23" s="17"/>
      <c r="S23" s="17"/>
      <c r="T23" s="17"/>
      <c r="U23" s="17"/>
      <c r="V23" s="514"/>
      <c r="W23" s="17"/>
      <c r="X23" s="17"/>
      <c r="Y23" s="17"/>
      <c r="Z23" s="514"/>
      <c r="AA23" s="17"/>
      <c r="AD23" s="16" t="s">
        <v>892</v>
      </c>
      <c r="AF23" s="419">
        <f>O19</f>
        <v>20000000000000</v>
      </c>
    </row>
    <row r="24" spans="1:32" ht="15" customHeight="1">
      <c r="I24" s="17"/>
      <c r="J24" s="514"/>
      <c r="K24" s="17"/>
      <c r="L24" s="17"/>
      <c r="M24" s="17"/>
      <c r="N24" s="514"/>
      <c r="O24" s="17"/>
      <c r="P24" s="17"/>
      <c r="Q24" s="17"/>
      <c r="R24" s="17"/>
      <c r="S24" s="17"/>
      <c r="T24" s="17"/>
      <c r="U24" s="17"/>
      <c r="V24" s="514"/>
      <c r="W24" s="17"/>
      <c r="X24" s="17"/>
      <c r="Y24" s="17"/>
      <c r="Z24" s="514"/>
      <c r="AA24" s="17"/>
      <c r="AD24" s="16" t="s">
        <v>893</v>
      </c>
    </row>
    <row r="25" spans="1:32" ht="15" customHeight="1">
      <c r="I25" s="17"/>
      <c r="J25" s="514"/>
      <c r="K25" s="17"/>
      <c r="L25" s="17"/>
      <c r="M25" s="17"/>
      <c r="N25" s="514"/>
      <c r="O25" s="17"/>
      <c r="P25" s="17"/>
      <c r="Q25" s="17"/>
      <c r="R25" s="17"/>
      <c r="S25" s="17"/>
      <c r="T25" s="17"/>
      <c r="U25" s="17"/>
      <c r="V25" s="514"/>
      <c r="W25" s="17"/>
      <c r="X25" s="17"/>
      <c r="Y25" s="17"/>
      <c r="Z25" s="514"/>
      <c r="AA25" s="17"/>
    </row>
    <row r="26" spans="1:32" ht="15" customHeight="1">
      <c r="I26" s="17"/>
      <c r="J26" s="514"/>
      <c r="K26" s="17"/>
      <c r="L26" s="17"/>
      <c r="M26" s="17"/>
      <c r="N26" s="514"/>
      <c r="O26" s="17"/>
      <c r="P26" s="17"/>
      <c r="Q26" s="17"/>
      <c r="R26" s="17"/>
      <c r="S26" s="17"/>
      <c r="T26" s="17"/>
      <c r="U26" s="17"/>
      <c r="V26" s="514"/>
      <c r="W26" s="17"/>
      <c r="X26" s="17"/>
      <c r="Y26" s="17"/>
      <c r="Z26" s="514"/>
      <c r="AA26" s="17"/>
    </row>
    <row r="27" spans="1:32" ht="15" customHeight="1">
      <c r="I27" s="17"/>
      <c r="J27" s="514"/>
      <c r="K27" s="17"/>
      <c r="L27" s="17"/>
      <c r="M27" s="17"/>
      <c r="N27" s="514"/>
      <c r="O27" s="17"/>
      <c r="P27" s="17"/>
      <c r="Q27" s="17"/>
      <c r="R27" s="17"/>
      <c r="S27" s="17"/>
      <c r="T27" s="17"/>
      <c r="U27" s="17"/>
      <c r="V27" s="514"/>
      <c r="W27" s="17"/>
      <c r="X27" s="17"/>
      <c r="Y27" s="17"/>
      <c r="Z27" s="514"/>
      <c r="AA27" s="17"/>
    </row>
    <row r="28" spans="1:32" ht="15" customHeight="1">
      <c r="I28" s="17"/>
      <c r="J28" s="514"/>
      <c r="K28" s="17"/>
      <c r="L28" s="17"/>
      <c r="M28" s="17"/>
      <c r="N28" s="514"/>
      <c r="O28" s="17"/>
      <c r="P28" s="17"/>
      <c r="Q28" s="17"/>
      <c r="R28" s="17"/>
      <c r="S28" s="17"/>
      <c r="T28" s="17"/>
      <c r="U28" s="17"/>
      <c r="V28" s="514"/>
      <c r="W28" s="17"/>
      <c r="X28" s="17"/>
      <c r="Y28" s="17"/>
      <c r="Z28" s="514"/>
      <c r="AA28" s="17"/>
    </row>
    <row r="29" spans="1:32" ht="15" customHeight="1">
      <c r="I29" s="17"/>
      <c r="J29" s="514"/>
      <c r="K29" s="17"/>
      <c r="L29" s="17"/>
      <c r="M29" s="17"/>
      <c r="N29" s="514"/>
      <c r="O29" s="17"/>
      <c r="P29" s="17"/>
      <c r="Q29" s="17"/>
      <c r="R29" s="17"/>
      <c r="S29" s="17"/>
      <c r="T29" s="17"/>
      <c r="U29" s="17"/>
      <c r="V29" s="514"/>
      <c r="W29" s="17"/>
      <c r="X29" s="17"/>
      <c r="Y29" s="17"/>
      <c r="Z29" s="514"/>
      <c r="AA29" s="17"/>
    </row>
    <row r="30" spans="1:32" ht="15" customHeight="1">
      <c r="I30" s="17"/>
      <c r="J30" s="514"/>
      <c r="K30" s="17"/>
      <c r="L30" s="17"/>
      <c r="M30" s="17"/>
      <c r="N30" s="514"/>
      <c r="O30" s="17"/>
      <c r="P30" s="17"/>
      <c r="Q30" s="17"/>
      <c r="R30" s="17"/>
      <c r="S30" s="17"/>
      <c r="T30" s="17"/>
      <c r="U30" s="17"/>
      <c r="V30" s="514"/>
      <c r="W30" s="17"/>
      <c r="X30" s="17"/>
      <c r="Y30" s="17"/>
      <c r="Z30" s="514"/>
      <c r="AA30" s="17"/>
    </row>
    <row r="31" spans="1:32" ht="15" customHeight="1">
      <c r="I31" s="17"/>
      <c r="J31" s="514"/>
      <c r="K31" s="17"/>
      <c r="L31" s="17"/>
      <c r="M31" s="17"/>
      <c r="N31" s="514"/>
      <c r="O31" s="17"/>
      <c r="P31" s="17"/>
      <c r="Q31" s="17"/>
      <c r="R31" s="17"/>
      <c r="S31" s="17"/>
      <c r="T31" s="17"/>
      <c r="U31" s="17"/>
      <c r="V31" s="514"/>
      <c r="W31" s="17"/>
      <c r="X31" s="17"/>
      <c r="Y31" s="17"/>
      <c r="Z31" s="514"/>
      <c r="AA31" s="17"/>
    </row>
    <row r="32" spans="1:32" ht="15" customHeight="1">
      <c r="I32" s="17"/>
      <c r="J32" s="514"/>
      <c r="K32" s="17"/>
      <c r="L32" s="17"/>
      <c r="M32" s="17"/>
      <c r="N32" s="514"/>
      <c r="O32" s="17"/>
      <c r="P32" s="17"/>
      <c r="Q32" s="17"/>
      <c r="R32" s="17"/>
      <c r="S32" s="17"/>
      <c r="T32" s="17"/>
      <c r="U32" s="17"/>
      <c r="V32" s="514"/>
      <c r="W32" s="17"/>
      <c r="X32" s="17"/>
      <c r="Y32" s="17"/>
      <c r="Z32" s="514"/>
      <c r="AA32" s="17"/>
    </row>
    <row r="33" spans="2:26" ht="15" customHeight="1">
      <c r="J33" s="433"/>
      <c r="N33" s="433"/>
      <c r="V33" s="433"/>
      <c r="Z33" s="433"/>
    </row>
    <row r="34" spans="2:26" ht="15" customHeight="1">
      <c r="J34" s="433"/>
      <c r="N34" s="433"/>
    </row>
    <row r="35" spans="2:26" ht="15" customHeight="1">
      <c r="J35" s="433"/>
      <c r="N35" s="433"/>
      <c r="V35" s="433"/>
      <c r="Z35" s="433"/>
    </row>
    <row r="36" spans="2:26" ht="15" customHeight="1">
      <c r="J36" s="433"/>
      <c r="N36" s="433"/>
      <c r="V36" s="433"/>
      <c r="Z36" s="429"/>
    </row>
    <row r="37" spans="2:26" ht="15" customHeight="1">
      <c r="J37" s="433"/>
      <c r="N37" s="433"/>
      <c r="V37" s="433"/>
      <c r="Z37" s="433"/>
    </row>
    <row r="38" spans="2:26" ht="15" customHeight="1">
      <c r="J38" s="433"/>
      <c r="N38" s="433"/>
      <c r="V38" s="433"/>
      <c r="Z38" s="433"/>
    </row>
    <row r="39" spans="2:26" ht="15" customHeight="1">
      <c r="J39" s="433"/>
      <c r="N39" s="433"/>
      <c r="V39" s="433"/>
      <c r="Z39" s="433"/>
    </row>
    <row r="40" spans="2:26" ht="15" customHeight="1"/>
    <row r="41" spans="2:26" ht="15" customHeight="1"/>
    <row r="42" spans="2:26" ht="15" customHeight="1"/>
    <row r="43" spans="2:26" ht="15" customHeight="1"/>
    <row r="44" spans="2:26" ht="15" customHeight="1">
      <c r="B44" s="14"/>
    </row>
    <row r="45" spans="2:26" ht="15" customHeight="1"/>
    <row r="46" spans="2:26" ht="15" customHeight="1"/>
    <row r="47" spans="2:26" ht="15" customHeight="1"/>
    <row r="48" spans="2: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5B11A2"/>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9" width="10.83203125" style="16"/>
    <col min="30" max="30" width="0" style="16" hidden="1" customWidth="1"/>
    <col min="31" max="32" width="11.1640625" style="16" hidden="1" customWidth="1"/>
    <col min="33" max="16384" width="10.83203125" style="16"/>
  </cols>
  <sheetData>
    <row r="1" spans="1:32" ht="30">
      <c r="A1" s="308" t="s">
        <v>561</v>
      </c>
      <c r="B1" s="309"/>
      <c r="C1" s="484"/>
      <c r="D1" s="484"/>
      <c r="E1" s="310"/>
      <c r="F1" s="309"/>
      <c r="G1" s="309"/>
      <c r="H1" s="309"/>
      <c r="I1" s="309"/>
      <c r="J1" s="399"/>
      <c r="K1" s="309"/>
      <c r="L1" s="309"/>
      <c r="M1" s="309"/>
      <c r="N1" s="399"/>
      <c r="O1" s="309"/>
      <c r="P1" s="309"/>
      <c r="Q1" s="484"/>
      <c r="R1" s="484"/>
      <c r="S1" s="309"/>
      <c r="T1" s="309"/>
      <c r="U1" s="309"/>
      <c r="V1" s="399"/>
      <c r="W1" s="309"/>
      <c r="X1" s="309"/>
      <c r="Y1" s="309"/>
      <c r="Z1" s="399"/>
      <c r="AA1" s="309"/>
      <c r="AB1" s="309"/>
    </row>
    <row r="2" spans="1:32" ht="30">
      <c r="A2" s="308"/>
      <c r="B2" s="309"/>
      <c r="C2" s="309"/>
      <c r="D2" s="309"/>
      <c r="E2" s="310"/>
      <c r="F2" s="309"/>
      <c r="G2" s="309"/>
      <c r="H2" s="309"/>
      <c r="I2" s="309"/>
      <c r="J2" s="399"/>
      <c r="K2" s="309"/>
      <c r="L2" s="309"/>
      <c r="M2" s="309"/>
      <c r="N2" s="399"/>
      <c r="O2" s="309"/>
      <c r="P2" s="309"/>
      <c r="Q2" s="309"/>
      <c r="R2" s="309"/>
      <c r="S2" s="309"/>
      <c r="T2" s="309"/>
      <c r="U2" s="309"/>
      <c r="V2" s="399"/>
      <c r="W2" s="309"/>
      <c r="X2" s="309"/>
      <c r="Y2" s="309"/>
      <c r="Z2" s="399"/>
      <c r="AA2" s="309"/>
      <c r="AB2" s="309"/>
    </row>
    <row r="3" spans="1:32" ht="30">
      <c r="A3" s="308"/>
      <c r="B3" s="309"/>
      <c r="C3" s="309"/>
      <c r="D3" s="309"/>
      <c r="E3" s="310"/>
      <c r="F3" s="309"/>
      <c r="G3" s="309"/>
      <c r="H3" s="309"/>
      <c r="I3" s="309"/>
      <c r="J3" s="399"/>
      <c r="K3" s="309"/>
      <c r="L3" s="309"/>
      <c r="M3" s="309"/>
      <c r="N3" s="399"/>
      <c r="O3" s="309"/>
      <c r="P3" s="309"/>
      <c r="Q3" s="309"/>
      <c r="R3" s="309"/>
      <c r="S3" s="309"/>
      <c r="T3" s="309"/>
      <c r="U3" s="309"/>
      <c r="V3" s="399"/>
      <c r="W3" s="309"/>
      <c r="X3" s="309"/>
      <c r="Y3" s="309"/>
      <c r="Z3" s="399"/>
      <c r="AA3" s="309"/>
      <c r="AB3" s="309"/>
    </row>
    <row r="4" spans="1:32" ht="30">
      <c r="A4" s="308"/>
      <c r="B4" s="309"/>
      <c r="C4" s="309"/>
      <c r="D4" s="309"/>
      <c r="E4" s="310"/>
      <c r="F4" s="309"/>
      <c r="G4" s="309"/>
      <c r="H4" s="309"/>
      <c r="I4" s="309"/>
      <c r="J4" s="399"/>
      <c r="K4" s="309"/>
      <c r="L4" s="309"/>
      <c r="M4" s="309"/>
      <c r="N4" s="399"/>
      <c r="O4" s="309"/>
      <c r="P4" s="309"/>
      <c r="Q4" s="309"/>
      <c r="R4" s="309"/>
      <c r="S4" s="309"/>
      <c r="T4" s="309"/>
      <c r="U4" s="309"/>
      <c r="V4" s="399"/>
      <c r="W4" s="309"/>
      <c r="X4" s="309"/>
      <c r="Y4" s="309"/>
      <c r="Z4" s="399"/>
      <c r="AA4" s="309"/>
      <c r="AB4" s="309"/>
    </row>
    <row r="5" spans="1:32" ht="30">
      <c r="A5" s="308"/>
      <c r="B5" s="309"/>
      <c r="C5" s="309"/>
      <c r="D5" s="309"/>
      <c r="E5" s="310"/>
      <c r="F5" s="309"/>
      <c r="G5" s="309"/>
      <c r="H5" s="309"/>
      <c r="I5" s="309"/>
      <c r="J5" s="399"/>
      <c r="K5" s="309"/>
      <c r="L5" s="309"/>
      <c r="M5" s="309"/>
      <c r="N5" s="399"/>
      <c r="O5" s="309"/>
      <c r="P5" s="309"/>
      <c r="Q5" s="309"/>
      <c r="R5" s="309"/>
      <c r="S5" s="309"/>
      <c r="T5" s="309"/>
      <c r="U5" s="309"/>
      <c r="V5" s="399"/>
      <c r="W5" s="309"/>
      <c r="X5" s="309"/>
      <c r="Y5" s="309"/>
      <c r="Z5" s="399"/>
      <c r="AA5" s="309"/>
      <c r="AB5" s="309"/>
    </row>
    <row r="6" spans="1:32" ht="30">
      <c r="A6" s="308"/>
      <c r="B6" s="309"/>
      <c r="C6" s="309"/>
      <c r="D6" s="309"/>
      <c r="E6" s="310"/>
      <c r="F6" s="309"/>
      <c r="G6" s="309"/>
      <c r="H6" s="309"/>
      <c r="I6" s="309"/>
      <c r="J6" s="399"/>
      <c r="K6" s="309"/>
      <c r="L6" s="309"/>
      <c r="M6" s="309"/>
      <c r="N6" s="399"/>
      <c r="O6" s="309"/>
      <c r="P6" s="309"/>
      <c r="Q6" s="309"/>
      <c r="R6" s="309"/>
      <c r="S6" s="309"/>
      <c r="T6" s="309"/>
      <c r="U6" s="309"/>
      <c r="V6" s="399"/>
      <c r="W6" s="309"/>
      <c r="X6" s="309"/>
      <c r="Y6" s="309"/>
      <c r="Z6" s="399"/>
      <c r="AA6" s="309"/>
      <c r="AB6" s="309"/>
    </row>
    <row r="7" spans="1:32" ht="30">
      <c r="A7" s="308"/>
      <c r="B7" s="309"/>
      <c r="C7" s="309"/>
      <c r="D7" s="309"/>
      <c r="E7" s="310"/>
      <c r="F7" s="309"/>
      <c r="G7" s="309"/>
      <c r="H7" s="309"/>
      <c r="I7" s="309"/>
      <c r="J7" s="399"/>
      <c r="K7" s="309"/>
      <c r="L7" s="309"/>
      <c r="M7" s="309"/>
      <c r="N7" s="399"/>
      <c r="O7" s="309"/>
      <c r="P7" s="309"/>
      <c r="Q7" s="309"/>
      <c r="R7" s="309"/>
      <c r="S7" s="309"/>
      <c r="T7" s="309"/>
      <c r="U7" s="309"/>
      <c r="V7" s="399"/>
      <c r="W7" s="309"/>
      <c r="X7" s="309"/>
      <c r="Y7" s="309"/>
      <c r="Z7" s="399"/>
      <c r="AA7" s="309"/>
      <c r="AB7" s="309"/>
    </row>
    <row r="8" spans="1:32" ht="30">
      <c r="A8" s="308"/>
      <c r="B8" s="309"/>
      <c r="C8" s="309"/>
      <c r="D8" s="309"/>
      <c r="E8" s="310"/>
      <c r="F8" s="309"/>
      <c r="G8" s="309"/>
      <c r="H8" s="309"/>
      <c r="I8" s="309"/>
      <c r="J8" s="399"/>
      <c r="K8" s="309"/>
      <c r="L8" s="309"/>
      <c r="M8" s="309"/>
      <c r="N8" s="399"/>
      <c r="O8" s="309"/>
      <c r="P8" s="309"/>
      <c r="Q8" s="309"/>
      <c r="R8" s="309"/>
      <c r="S8" s="309"/>
      <c r="T8" s="309"/>
      <c r="U8" s="309"/>
      <c r="V8" s="399"/>
      <c r="W8" s="309"/>
      <c r="X8" s="309"/>
      <c r="Y8" s="309"/>
      <c r="Z8" s="399"/>
      <c r="AA8" s="309"/>
      <c r="AB8" s="309"/>
    </row>
    <row r="9" spans="1:32" ht="31" thickBot="1">
      <c r="A9" s="308"/>
      <c r="B9" s="309"/>
      <c r="C9" s="309"/>
      <c r="D9" s="309"/>
      <c r="E9" s="310"/>
      <c r="F9" s="309"/>
      <c r="G9" s="309"/>
      <c r="H9" s="309"/>
      <c r="I9" s="309"/>
      <c r="J9" s="399"/>
      <c r="K9" s="309"/>
      <c r="L9" s="309"/>
      <c r="M9" s="309"/>
      <c r="N9" s="399"/>
      <c r="O9" s="309"/>
      <c r="P9" s="309"/>
      <c r="Q9" s="309"/>
      <c r="R9" s="309"/>
      <c r="S9" s="309"/>
      <c r="T9" s="309"/>
      <c r="U9" s="309"/>
      <c r="V9" s="399"/>
      <c r="W9" s="309"/>
      <c r="X9" s="309"/>
      <c r="Y9" s="309"/>
      <c r="Z9" s="399"/>
      <c r="AA9" s="309"/>
      <c r="AB9" s="309"/>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1177124.3999999999</v>
      </c>
      <c r="AF11" s="18">
        <f>X13*O13</f>
        <v>11771244</v>
      </c>
    </row>
    <row r="12" spans="1:32" ht="15" customHeight="1" thickBot="1">
      <c r="A12" s="268"/>
      <c r="B12" s="268" t="s">
        <v>48</v>
      </c>
      <c r="C12" s="269">
        <f>SUM(C15)</f>
        <v>1961874</v>
      </c>
      <c r="D12" s="269"/>
      <c r="E12" s="269">
        <f>SUM(E15)</f>
        <v>3.1597981478531764E-3</v>
      </c>
      <c r="F12" s="270"/>
      <c r="G12" s="270"/>
      <c r="H12" s="270"/>
      <c r="I12" s="270"/>
      <c r="J12" s="270"/>
      <c r="K12" s="501"/>
      <c r="L12" s="270"/>
      <c r="M12" s="270"/>
      <c r="N12" s="270"/>
      <c r="O12" s="276">
        <f>SUM(O15)</f>
        <v>19618740</v>
      </c>
      <c r="P12" s="268"/>
      <c r="Q12" s="269">
        <f>SUM(Q15)</f>
        <v>3.159798147853176E-2</v>
      </c>
      <c r="R12" s="270"/>
      <c r="S12" s="270"/>
      <c r="T12" s="270"/>
      <c r="U12" s="270"/>
      <c r="V12" s="270"/>
      <c r="W12" s="501"/>
      <c r="X12" s="270"/>
      <c r="Y12" s="270"/>
      <c r="Z12" s="270"/>
      <c r="AA12" s="235"/>
      <c r="AB12" s="236"/>
      <c r="AD12" s="16" t="s">
        <v>887</v>
      </c>
      <c r="AE12" s="18">
        <f>K13*C13</f>
        <v>784749.60000000009</v>
      </c>
      <c r="AF12" s="18">
        <f>W13*O13</f>
        <v>7847496</v>
      </c>
    </row>
    <row r="13" spans="1:32" ht="15" customHeight="1" thickTop="1" thickBot="1">
      <c r="A13" s="271"/>
      <c r="B13" s="271" t="s">
        <v>870</v>
      </c>
      <c r="C13" s="272">
        <f>C15</f>
        <v>1961874</v>
      </c>
      <c r="D13" s="272"/>
      <c r="E13" s="272">
        <f>E15</f>
        <v>3.1597981478531764E-3</v>
      </c>
      <c r="F13" s="282">
        <f>SUMPRODUCT(F15,$C$15)/SUM($C$15)</f>
        <v>1</v>
      </c>
      <c r="G13" s="282">
        <v>0</v>
      </c>
      <c r="H13" s="282">
        <v>0</v>
      </c>
      <c r="I13" s="282">
        <v>0</v>
      </c>
      <c r="J13" s="430">
        <f>SUM(F13:I13)</f>
        <v>1</v>
      </c>
      <c r="K13" s="393">
        <f t="shared" ref="K13" si="0">SUMPRODUCT(K15,$C$15)/SUM($C$15)</f>
        <v>0.4</v>
      </c>
      <c r="L13" s="282">
        <f>SUMPRODUCT(L15,$C$15)/SUM($C$15)</f>
        <v>0.6</v>
      </c>
      <c r="M13" s="282">
        <v>0</v>
      </c>
      <c r="N13" s="430">
        <f>SUM(K13:M13)</f>
        <v>1</v>
      </c>
      <c r="O13" s="277">
        <f>O15</f>
        <v>19618740</v>
      </c>
      <c r="P13" s="271"/>
      <c r="Q13" s="272">
        <f>Q15</f>
        <v>3.159798147853176E-2</v>
      </c>
      <c r="R13" s="282">
        <f>SUMPRODUCT(R15,$O$15)/SUM($O$15)</f>
        <v>1</v>
      </c>
      <c r="S13" s="282">
        <v>0</v>
      </c>
      <c r="T13" s="282">
        <v>0</v>
      </c>
      <c r="U13" s="282">
        <v>0</v>
      </c>
      <c r="V13" s="430">
        <f>SUM(R13:U13)</f>
        <v>1</v>
      </c>
      <c r="W13" s="393">
        <f t="shared" ref="W13" si="1">SUMPRODUCT(W15,$O$15)/SUM($O$15)</f>
        <v>0.4</v>
      </c>
      <c r="X13" s="282">
        <f>SUMPRODUCT(X15,$O$15)/SUM($O$15)</f>
        <v>0.6</v>
      </c>
      <c r="Y13" s="282">
        <v>0</v>
      </c>
      <c r="Z13" s="430">
        <f>SUM(W13:Y13)</f>
        <v>1</v>
      </c>
      <c r="AA13" s="702"/>
      <c r="AB13" s="703"/>
      <c r="AD13" s="16" t="s">
        <v>888</v>
      </c>
      <c r="AE13" s="18">
        <f>M13*C13</f>
        <v>0</v>
      </c>
      <c r="AF13" s="18">
        <f>Y13*O13</f>
        <v>0</v>
      </c>
    </row>
    <row r="14" spans="1:32" ht="15" customHeight="1" thickTop="1" thickBot="1">
      <c r="A14" s="224" t="s">
        <v>591</v>
      </c>
      <c r="B14" s="232"/>
      <c r="C14" s="232"/>
      <c r="D14" s="232"/>
      <c r="E14" s="232"/>
      <c r="F14" s="232"/>
      <c r="G14" s="300"/>
      <c r="H14" s="300"/>
      <c r="I14" s="300"/>
      <c r="J14" s="240"/>
      <c r="K14" s="299"/>
      <c r="L14" s="300"/>
      <c r="M14" s="240"/>
      <c r="N14" s="240"/>
      <c r="O14" s="684"/>
      <c r="P14" s="232"/>
      <c r="Q14" s="232"/>
      <c r="R14" s="299"/>
      <c r="S14" s="300"/>
      <c r="T14" s="300"/>
      <c r="U14" s="300"/>
      <c r="V14" s="240"/>
      <c r="W14" s="299"/>
      <c r="X14" s="300"/>
      <c r="Y14" s="240"/>
      <c r="Z14" s="240"/>
      <c r="AA14" s="704"/>
      <c r="AB14" s="705"/>
      <c r="AE14" s="18"/>
      <c r="AF14" s="18"/>
    </row>
    <row r="15" spans="1:32" ht="15" customHeight="1" thickTop="1" thickBot="1">
      <c r="A15" s="223"/>
      <c r="B15" s="232" t="s">
        <v>562</v>
      </c>
      <c r="C15" s="243">
        <f>D15*AA15</f>
        <v>1961874</v>
      </c>
      <c r="D15" s="243">
        <v>3.0000000000000001E-3</v>
      </c>
      <c r="E15" s="243">
        <f>C15/AB15</f>
        <v>3.1597981478531764E-3</v>
      </c>
      <c r="F15" s="311">
        <v>1</v>
      </c>
      <c r="G15" s="240"/>
      <c r="H15" s="240"/>
      <c r="I15" s="240"/>
      <c r="J15" s="430">
        <f>SUM(F15:I15)</f>
        <v>1</v>
      </c>
      <c r="K15" s="299">
        <v>0.4</v>
      </c>
      <c r="L15" s="300">
        <v>0.6</v>
      </c>
      <c r="M15" s="240"/>
      <c r="N15" s="430">
        <f>SUM(K15:M15)</f>
        <v>1</v>
      </c>
      <c r="O15" s="677">
        <f>AA15*P15</f>
        <v>19618740</v>
      </c>
      <c r="P15" s="243">
        <v>0.03</v>
      </c>
      <c r="Q15" s="243">
        <f>O15/AB15</f>
        <v>3.159798147853176E-2</v>
      </c>
      <c r="R15" s="311">
        <v>1</v>
      </c>
      <c r="S15" s="240"/>
      <c r="T15" s="240"/>
      <c r="U15" s="240"/>
      <c r="V15" s="430">
        <f>SUM(R15:U15)</f>
        <v>1</v>
      </c>
      <c r="W15" s="299">
        <v>0.4</v>
      </c>
      <c r="X15" s="300">
        <v>0.6</v>
      </c>
      <c r="Y15" s="240"/>
      <c r="Z15" s="430">
        <f>SUM(W15:Y15)</f>
        <v>1</v>
      </c>
      <c r="AA15" s="709">
        <f>'Energy data by fuel cycle'!$F$16</f>
        <v>653958000</v>
      </c>
      <c r="AB15" s="710">
        <f>'Energy data by fuel cycle'!$G$16</f>
        <v>620885863.02037442</v>
      </c>
      <c r="AD15" s="16" t="s">
        <v>267</v>
      </c>
      <c r="AE15" s="18">
        <f>F13*C13</f>
        <v>1961874</v>
      </c>
      <c r="AF15" s="18">
        <f>R13*O13</f>
        <v>19618740</v>
      </c>
    </row>
    <row r="16" spans="1:32" ht="15" customHeight="1" thickTop="1">
      <c r="A16" s="225"/>
      <c r="I16" s="17"/>
      <c r="J16" s="514"/>
      <c r="K16" s="17"/>
      <c r="L16" s="17"/>
      <c r="M16" s="17"/>
      <c r="N16" s="514"/>
      <c r="O16" s="17"/>
      <c r="P16" s="17"/>
      <c r="Q16" s="17"/>
      <c r="R16" s="17"/>
      <c r="S16" s="17"/>
      <c r="T16" s="17"/>
      <c r="U16" s="17"/>
      <c r="V16" s="514"/>
      <c r="W16" s="17"/>
      <c r="X16" s="17"/>
      <c r="Z16" s="433"/>
      <c r="AD16" s="16" t="s">
        <v>654</v>
      </c>
      <c r="AE16" s="18">
        <f>G13*C13</f>
        <v>0</v>
      </c>
      <c r="AF16" s="18">
        <f>S13*O13</f>
        <v>0</v>
      </c>
    </row>
    <row r="17" spans="1:32" ht="15" customHeight="1">
      <c r="A17" s="219"/>
      <c r="I17" s="17"/>
      <c r="J17" s="514"/>
      <c r="K17" s="17"/>
      <c r="L17" s="17"/>
      <c r="M17" s="17"/>
      <c r="N17" s="514"/>
      <c r="O17" s="17"/>
      <c r="P17" s="17"/>
      <c r="Q17" s="17"/>
      <c r="R17" s="17"/>
      <c r="S17" s="17"/>
      <c r="T17" s="17"/>
      <c r="U17" s="17"/>
      <c r="V17" s="514"/>
      <c r="W17" s="17"/>
      <c r="X17" s="17"/>
      <c r="Z17" s="433"/>
      <c r="AD17" s="16" t="s">
        <v>889</v>
      </c>
      <c r="AE17" s="18">
        <f>H13*C13</f>
        <v>0</v>
      </c>
      <c r="AF17" s="18">
        <f>T13*O13</f>
        <v>0</v>
      </c>
    </row>
    <row r="18" spans="1:32" ht="15" customHeight="1">
      <c r="A18" s="219"/>
      <c r="I18" s="17"/>
      <c r="J18" s="514"/>
      <c r="K18" s="17"/>
      <c r="L18" s="17"/>
      <c r="M18" s="17"/>
      <c r="N18" s="514"/>
      <c r="O18" s="17"/>
      <c r="P18" s="17"/>
      <c r="Q18" s="17"/>
      <c r="R18" s="17"/>
      <c r="S18" s="17"/>
      <c r="T18" s="17"/>
      <c r="U18" s="17"/>
      <c r="V18" s="514"/>
      <c r="W18" s="17"/>
      <c r="X18" s="17"/>
      <c r="Z18" s="433"/>
      <c r="AD18" s="16" t="s">
        <v>890</v>
      </c>
      <c r="AE18" s="18">
        <f>I13*C13</f>
        <v>0</v>
      </c>
      <c r="AF18" s="18">
        <f>U13*O13</f>
        <v>0</v>
      </c>
    </row>
    <row r="19" spans="1:32" ht="15" customHeight="1">
      <c r="A19" s="225"/>
      <c r="I19" s="17"/>
      <c r="J19" s="514"/>
      <c r="K19" s="17"/>
      <c r="L19" s="17"/>
      <c r="M19" s="17"/>
      <c r="N19" s="514"/>
      <c r="O19" s="17"/>
      <c r="P19" s="17"/>
      <c r="Q19" s="17"/>
      <c r="R19" s="17"/>
      <c r="S19" s="17"/>
      <c r="T19" s="17"/>
      <c r="U19" s="17"/>
      <c r="V19" s="514"/>
      <c r="W19" s="17"/>
      <c r="X19" s="17"/>
      <c r="Z19" s="433"/>
    </row>
    <row r="20" spans="1:32" ht="15" customHeight="1">
      <c r="A20" s="220"/>
      <c r="I20" s="17"/>
      <c r="J20" s="514"/>
      <c r="K20" s="17"/>
      <c r="L20" s="17"/>
      <c r="M20" s="17"/>
      <c r="N20" s="514"/>
      <c r="O20" s="17"/>
      <c r="P20" s="17"/>
      <c r="Q20" s="17"/>
      <c r="R20" s="17"/>
      <c r="S20" s="17"/>
      <c r="T20" s="17"/>
      <c r="U20" s="17"/>
      <c r="V20" s="514"/>
      <c r="W20" s="17"/>
      <c r="X20" s="17"/>
      <c r="Z20" s="433"/>
      <c r="AD20" s="16" t="s">
        <v>614</v>
      </c>
      <c r="AE20" s="419">
        <f>C15</f>
        <v>1961874</v>
      </c>
      <c r="AF20" s="419">
        <f>O15</f>
        <v>19618740</v>
      </c>
    </row>
    <row r="21" spans="1:32" ht="15" customHeight="1">
      <c r="A21" s="220"/>
      <c r="I21" s="17"/>
      <c r="J21" s="514"/>
      <c r="K21" s="17"/>
      <c r="L21" s="17"/>
      <c r="M21" s="17"/>
      <c r="N21" s="514"/>
      <c r="O21" s="17"/>
      <c r="P21" s="17"/>
      <c r="Q21" s="17"/>
      <c r="R21" s="17"/>
      <c r="S21" s="17"/>
      <c r="T21" s="17"/>
      <c r="U21" s="17"/>
      <c r="V21" s="514"/>
      <c r="W21" s="17"/>
      <c r="X21" s="17"/>
      <c r="Z21" s="433"/>
      <c r="AD21" s="16" t="s">
        <v>82</v>
      </c>
    </row>
    <row r="22" spans="1:32" ht="15" customHeight="1">
      <c r="A22" s="220"/>
      <c r="I22" s="17"/>
      <c r="J22" s="514"/>
      <c r="K22" s="17"/>
      <c r="L22" s="17"/>
      <c r="M22" s="17"/>
      <c r="N22" s="514"/>
      <c r="O22" s="17"/>
      <c r="P22" s="17"/>
      <c r="Q22" s="17"/>
      <c r="R22" s="17"/>
      <c r="S22" s="17"/>
      <c r="T22" s="17"/>
      <c r="U22" s="17"/>
      <c r="V22" s="514"/>
      <c r="W22" s="17"/>
      <c r="X22" s="17"/>
      <c r="Z22" s="433"/>
      <c r="AD22" s="16" t="s">
        <v>891</v>
      </c>
    </row>
    <row r="23" spans="1:32" ht="15" customHeight="1">
      <c r="A23" s="220"/>
      <c r="I23" s="17"/>
      <c r="J23" s="514"/>
      <c r="K23" s="17"/>
      <c r="L23" s="17"/>
      <c r="M23" s="17"/>
      <c r="N23" s="514"/>
      <c r="O23" s="17"/>
      <c r="P23" s="17"/>
      <c r="Q23" s="17"/>
      <c r="R23" s="17"/>
      <c r="S23" s="17"/>
      <c r="T23" s="17"/>
      <c r="U23" s="17"/>
      <c r="V23" s="514"/>
      <c r="W23" s="17"/>
      <c r="X23" s="17"/>
      <c r="Z23" s="433"/>
      <c r="AD23" s="16" t="s">
        <v>892</v>
      </c>
    </row>
    <row r="24" spans="1:32" ht="15" customHeight="1">
      <c r="I24" s="17"/>
      <c r="J24" s="514"/>
      <c r="K24" s="17"/>
      <c r="L24" s="17"/>
      <c r="M24" s="17"/>
      <c r="N24" s="514"/>
      <c r="O24" s="17"/>
      <c r="P24" s="17"/>
      <c r="Q24" s="17"/>
      <c r="R24" s="17"/>
      <c r="S24" s="17"/>
      <c r="T24" s="17"/>
      <c r="U24" s="17"/>
      <c r="V24" s="514"/>
      <c r="W24" s="17"/>
      <c r="X24" s="17"/>
      <c r="Z24" s="433"/>
      <c r="AD24" s="16" t="s">
        <v>893</v>
      </c>
    </row>
    <row r="25" spans="1:32" ht="15" customHeight="1">
      <c r="I25" s="17"/>
      <c r="J25" s="514"/>
      <c r="K25" s="17"/>
      <c r="L25" s="17"/>
      <c r="M25" s="17"/>
      <c r="N25" s="514"/>
      <c r="O25" s="17"/>
      <c r="P25" s="17"/>
      <c r="Q25" s="17"/>
      <c r="R25" s="17"/>
      <c r="S25" s="17"/>
      <c r="T25" s="17"/>
      <c r="U25" s="17"/>
      <c r="V25" s="514"/>
      <c r="W25" s="17"/>
      <c r="X25" s="17"/>
      <c r="Z25" s="433"/>
    </row>
    <row r="26" spans="1:32" ht="15" customHeight="1">
      <c r="I26" s="17"/>
      <c r="J26" s="514"/>
      <c r="K26" s="17"/>
      <c r="L26" s="17"/>
      <c r="M26" s="17"/>
      <c r="N26" s="514"/>
      <c r="O26" s="17"/>
      <c r="P26" s="17"/>
      <c r="Q26" s="17"/>
      <c r="R26" s="17"/>
      <c r="S26" s="17"/>
      <c r="T26" s="17"/>
      <c r="U26" s="17"/>
      <c r="V26" s="514"/>
      <c r="W26" s="17"/>
      <c r="X26" s="17"/>
      <c r="Z26" s="433"/>
    </row>
    <row r="27" spans="1:32" ht="15" customHeight="1">
      <c r="D27" s="34"/>
      <c r="I27" s="17"/>
      <c r="J27" s="514"/>
      <c r="K27" s="17"/>
      <c r="L27" s="17"/>
      <c r="M27" s="17"/>
      <c r="N27" s="514"/>
      <c r="O27" s="17"/>
      <c r="P27" s="17"/>
      <c r="Q27" s="17"/>
      <c r="R27" s="17"/>
      <c r="S27" s="17"/>
      <c r="T27" s="17"/>
      <c r="U27" s="17"/>
      <c r="V27" s="514"/>
      <c r="W27" s="17"/>
      <c r="X27" s="17"/>
      <c r="Z27" s="433"/>
    </row>
    <row r="28" spans="1:32" ht="15" customHeight="1">
      <c r="I28" s="17"/>
      <c r="J28" s="514"/>
      <c r="K28" s="17"/>
      <c r="L28" s="17"/>
      <c r="M28" s="17"/>
      <c r="N28" s="514"/>
      <c r="O28" s="17"/>
      <c r="P28" s="17"/>
      <c r="Q28" s="17"/>
      <c r="R28" s="17"/>
      <c r="S28" s="17"/>
      <c r="T28" s="17"/>
      <c r="U28" s="17"/>
      <c r="V28" s="514"/>
      <c r="W28" s="17"/>
      <c r="X28" s="17"/>
      <c r="Z28" s="433"/>
    </row>
    <row r="29" spans="1:32" ht="15" customHeight="1">
      <c r="I29" s="17"/>
      <c r="J29" s="514"/>
      <c r="K29" s="17"/>
      <c r="L29" s="17"/>
      <c r="M29" s="17"/>
      <c r="N29" s="514"/>
      <c r="O29" s="17"/>
      <c r="P29" s="17"/>
      <c r="Q29" s="17"/>
      <c r="R29" s="17"/>
      <c r="S29" s="17"/>
      <c r="T29" s="17"/>
      <c r="U29" s="17"/>
      <c r="V29" s="514"/>
      <c r="W29" s="17"/>
      <c r="X29" s="17"/>
      <c r="Z29" s="433"/>
    </row>
    <row r="30" spans="1:32" ht="15" customHeight="1">
      <c r="I30" s="17"/>
      <c r="J30" s="514"/>
      <c r="K30" s="17"/>
      <c r="L30" s="17"/>
      <c r="M30" s="17"/>
      <c r="N30" s="514"/>
      <c r="O30" s="17"/>
      <c r="P30" s="17"/>
      <c r="Q30" s="17"/>
      <c r="R30" s="17"/>
      <c r="S30" s="17"/>
      <c r="T30" s="17"/>
      <c r="U30" s="17"/>
      <c r="V30" s="514"/>
      <c r="W30" s="17"/>
      <c r="X30" s="17"/>
      <c r="Z30" s="433"/>
    </row>
    <row r="31" spans="1:32" ht="15" customHeight="1">
      <c r="I31" s="17"/>
      <c r="J31" s="514"/>
      <c r="K31" s="17"/>
      <c r="L31" s="17"/>
      <c r="M31" s="17"/>
      <c r="N31" s="514"/>
      <c r="O31" s="17"/>
      <c r="P31" s="17"/>
      <c r="Q31" s="17"/>
      <c r="R31" s="17"/>
      <c r="S31" s="17"/>
      <c r="T31" s="17"/>
      <c r="U31" s="17"/>
      <c r="V31" s="514"/>
      <c r="W31" s="17"/>
      <c r="X31" s="17"/>
      <c r="Z31" s="433"/>
    </row>
    <row r="32" spans="1:32" ht="15" customHeight="1">
      <c r="I32" s="17"/>
      <c r="J32" s="514"/>
      <c r="K32" s="17"/>
      <c r="L32" s="17"/>
      <c r="M32" s="17"/>
      <c r="N32" s="514"/>
      <c r="O32" s="17"/>
      <c r="P32" s="17"/>
      <c r="Q32" s="17"/>
      <c r="R32" s="17"/>
      <c r="S32" s="17"/>
      <c r="T32" s="17"/>
      <c r="U32" s="17"/>
      <c r="V32" s="514"/>
      <c r="W32" s="17"/>
      <c r="X32" s="17"/>
      <c r="Z32" s="433"/>
    </row>
    <row r="33" spans="10:26" ht="15" customHeight="1">
      <c r="J33" s="433"/>
      <c r="N33" s="433"/>
      <c r="V33" s="433"/>
      <c r="Z33" s="433"/>
    </row>
    <row r="34" spans="10:26" ht="15" customHeight="1">
      <c r="J34" s="433"/>
      <c r="N34" s="433"/>
    </row>
    <row r="35" spans="10:26" ht="15" customHeight="1">
      <c r="J35" s="433"/>
      <c r="N35" s="433"/>
      <c r="V35" s="433"/>
      <c r="Z35" s="433"/>
    </row>
    <row r="36" spans="10:26" ht="15" customHeight="1">
      <c r="J36" s="433"/>
      <c r="N36" s="433"/>
      <c r="V36" s="433"/>
      <c r="Z36" s="429"/>
    </row>
    <row r="37" spans="10:26" ht="15" customHeight="1">
      <c r="J37" s="433"/>
      <c r="N37" s="433"/>
      <c r="V37" s="433"/>
      <c r="Z37" s="433"/>
    </row>
    <row r="38" spans="10:26" ht="15" customHeight="1">
      <c r="J38" s="433"/>
      <c r="N38" s="433"/>
      <c r="V38" s="433"/>
      <c r="Z38" s="433"/>
    </row>
    <row r="39" spans="10:26" ht="15" customHeight="1">
      <c r="J39" s="433"/>
      <c r="N39" s="433"/>
      <c r="V39" s="433"/>
      <c r="Z39" s="433"/>
    </row>
    <row r="40" spans="10:26" ht="15" customHeight="1"/>
    <row r="41" spans="10:26" ht="15" customHeight="1"/>
    <row r="42" spans="10:26" ht="15" customHeight="1"/>
    <row r="43" spans="10:26" ht="15" customHeight="1"/>
    <row r="44" spans="10:26" ht="15" customHeight="1"/>
    <row r="45" spans="10:26" ht="15" customHeight="1"/>
    <row r="46" spans="10:26" ht="15" customHeight="1"/>
    <row r="47" spans="10:26" ht="15" customHeight="1"/>
    <row r="48" spans="10:26" ht="15" customHeight="1"/>
    <row r="49" spans="2:2" ht="15" customHeight="1">
      <c r="B49" s="14"/>
    </row>
    <row r="50" spans="2:2" ht="15" customHeight="1"/>
    <row r="51" spans="2:2" ht="15" customHeight="1"/>
    <row r="52" spans="2:2" ht="15" customHeight="1"/>
    <row r="53" spans="2:2" ht="15" customHeight="1"/>
    <row r="54" spans="2:2" ht="15" customHeight="1"/>
    <row r="55" spans="2:2" ht="15" customHeight="1"/>
    <row r="56" spans="2:2" ht="15" customHeight="1"/>
    <row r="57" spans="2:2" ht="15" customHeight="1"/>
    <row r="58" spans="2:2" ht="15" customHeight="1"/>
    <row r="59" spans="2:2" ht="15" customHeight="1"/>
    <row r="60" spans="2:2" ht="15" customHeight="1"/>
    <row r="61" spans="2:2" ht="15" customHeight="1"/>
    <row r="62" spans="2:2" ht="15" customHeight="1"/>
    <row r="63" spans="2:2" ht="15" customHeight="1"/>
    <row r="64" spans="2:2"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5B3E0E"/>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7" width="10.83203125" style="16" customWidth="1"/>
    <col min="28" max="29" width="10.83203125" style="16"/>
    <col min="30" max="30" width="0" style="16" hidden="1" customWidth="1"/>
    <col min="31" max="31" width="11.6640625" style="16" hidden="1" customWidth="1"/>
    <col min="32" max="32" width="12.6640625" style="16" hidden="1" customWidth="1"/>
    <col min="33" max="16384" width="10.83203125" style="16"/>
  </cols>
  <sheetData>
    <row r="1" spans="1:32" ht="30">
      <c r="A1" s="388" t="s">
        <v>880</v>
      </c>
      <c r="B1" s="298"/>
      <c r="C1" s="483"/>
      <c r="D1" s="483"/>
      <c r="E1" s="389"/>
      <c r="F1" s="298"/>
      <c r="G1" s="298"/>
      <c r="H1" s="298"/>
      <c r="I1" s="298"/>
      <c r="J1" s="397"/>
      <c r="K1" s="298"/>
      <c r="L1" s="298"/>
      <c r="M1" s="298"/>
      <c r="N1" s="397"/>
      <c r="O1" s="298"/>
      <c r="P1" s="298"/>
      <c r="Q1" s="483"/>
      <c r="R1" s="483"/>
      <c r="S1" s="298"/>
      <c r="T1" s="298"/>
      <c r="U1" s="298"/>
      <c r="V1" s="397"/>
      <c r="W1" s="298"/>
      <c r="X1" s="298"/>
      <c r="Y1" s="298"/>
      <c r="Z1" s="397"/>
      <c r="AA1" s="298"/>
      <c r="AB1" s="298"/>
    </row>
    <row r="2" spans="1:32" ht="30">
      <c r="A2" s="388" t="s">
        <v>881</v>
      </c>
      <c r="B2" s="298"/>
      <c r="C2" s="298"/>
      <c r="D2" s="298"/>
      <c r="E2" s="389"/>
      <c r="F2" s="298"/>
      <c r="G2" s="298"/>
      <c r="H2" s="298"/>
      <c r="I2" s="298"/>
      <c r="J2" s="397"/>
      <c r="K2" s="298"/>
      <c r="L2" s="298"/>
      <c r="M2" s="298"/>
      <c r="N2" s="397"/>
      <c r="O2" s="298"/>
      <c r="P2" s="298"/>
      <c r="Q2" s="298"/>
      <c r="R2" s="298"/>
      <c r="S2" s="298"/>
      <c r="T2" s="298"/>
      <c r="U2" s="298"/>
      <c r="V2" s="397"/>
      <c r="W2" s="298"/>
      <c r="X2" s="298"/>
      <c r="Y2" s="298"/>
      <c r="Z2" s="397"/>
      <c r="AA2" s="298"/>
      <c r="AB2" s="298"/>
    </row>
    <row r="3" spans="1:32" ht="30">
      <c r="A3" s="388"/>
      <c r="B3" s="298"/>
      <c r="C3" s="298"/>
      <c r="D3" s="298"/>
      <c r="E3" s="389"/>
      <c r="F3" s="298"/>
      <c r="G3" s="298"/>
      <c r="H3" s="298"/>
      <c r="I3" s="298"/>
      <c r="J3" s="397"/>
      <c r="K3" s="298"/>
      <c r="L3" s="298"/>
      <c r="M3" s="298"/>
      <c r="N3" s="397"/>
      <c r="O3" s="298"/>
      <c r="P3" s="298"/>
      <c r="Q3" s="298"/>
      <c r="R3" s="298"/>
      <c r="S3" s="298"/>
      <c r="T3" s="298"/>
      <c r="U3" s="298"/>
      <c r="V3" s="397"/>
      <c r="W3" s="298"/>
      <c r="X3" s="298"/>
      <c r="Y3" s="298"/>
      <c r="Z3" s="397"/>
      <c r="AA3" s="298"/>
      <c r="AB3" s="298"/>
    </row>
    <row r="4" spans="1:32" ht="30">
      <c r="A4" s="388"/>
      <c r="B4" s="298"/>
      <c r="C4" s="298"/>
      <c r="D4" s="298"/>
      <c r="E4" s="389"/>
      <c r="F4" s="298"/>
      <c r="G4" s="298"/>
      <c r="H4" s="298"/>
      <c r="I4" s="298"/>
      <c r="J4" s="397"/>
      <c r="K4" s="298"/>
      <c r="L4" s="298"/>
      <c r="M4" s="298"/>
      <c r="N4" s="397"/>
      <c r="O4" s="298"/>
      <c r="P4" s="298"/>
      <c r="Q4" s="298"/>
      <c r="R4" s="298"/>
      <c r="S4" s="298"/>
      <c r="T4" s="298"/>
      <c r="U4" s="298"/>
      <c r="V4" s="397"/>
      <c r="W4" s="298"/>
      <c r="X4" s="298"/>
      <c r="Y4" s="298"/>
      <c r="Z4" s="397"/>
      <c r="AA4" s="298"/>
      <c r="AB4" s="298"/>
    </row>
    <row r="5" spans="1:32" ht="30">
      <c r="A5" s="388"/>
      <c r="B5" s="298"/>
      <c r="C5" s="298"/>
      <c r="D5" s="298"/>
      <c r="E5" s="389"/>
      <c r="F5" s="298"/>
      <c r="G5" s="298"/>
      <c r="H5" s="298"/>
      <c r="I5" s="298"/>
      <c r="J5" s="397"/>
      <c r="K5" s="298"/>
      <c r="L5" s="298"/>
      <c r="M5" s="298"/>
      <c r="N5" s="397"/>
      <c r="O5" s="298"/>
      <c r="P5" s="298"/>
      <c r="Q5" s="298"/>
      <c r="R5" s="298"/>
      <c r="S5" s="298"/>
      <c r="T5" s="298"/>
      <c r="U5" s="298"/>
      <c r="V5" s="397"/>
      <c r="W5" s="298"/>
      <c r="X5" s="298"/>
      <c r="Y5" s="298"/>
      <c r="Z5" s="397"/>
      <c r="AA5" s="298"/>
      <c r="AB5" s="298"/>
    </row>
    <row r="6" spans="1:32" ht="30">
      <c r="A6" s="388"/>
      <c r="B6" s="298"/>
      <c r="C6" s="298"/>
      <c r="D6" s="298"/>
      <c r="E6" s="389"/>
      <c r="F6" s="298"/>
      <c r="G6" s="298"/>
      <c r="H6" s="298"/>
      <c r="I6" s="298"/>
      <c r="J6" s="397"/>
      <c r="K6" s="298"/>
      <c r="L6" s="298"/>
      <c r="M6" s="298"/>
      <c r="N6" s="397"/>
      <c r="O6" s="298"/>
      <c r="P6" s="298"/>
      <c r="Q6" s="298"/>
      <c r="R6" s="298"/>
      <c r="S6" s="298"/>
      <c r="T6" s="298"/>
      <c r="U6" s="298"/>
      <c r="V6" s="397"/>
      <c r="W6" s="298"/>
      <c r="X6" s="298"/>
      <c r="Y6" s="298"/>
      <c r="Z6" s="397"/>
      <c r="AA6" s="298"/>
      <c r="AB6" s="298"/>
    </row>
    <row r="7" spans="1:32" ht="30">
      <c r="A7" s="388"/>
      <c r="B7" s="298"/>
      <c r="C7" s="298"/>
      <c r="D7" s="298"/>
      <c r="E7" s="389"/>
      <c r="F7" s="298"/>
      <c r="G7" s="298"/>
      <c r="H7" s="298"/>
      <c r="I7" s="298"/>
      <c r="J7" s="397"/>
      <c r="K7" s="298"/>
      <c r="L7" s="298"/>
      <c r="M7" s="298"/>
      <c r="N7" s="397"/>
      <c r="O7" s="298"/>
      <c r="P7" s="298"/>
      <c r="Q7" s="298"/>
      <c r="R7" s="298"/>
      <c r="S7" s="298"/>
      <c r="T7" s="298"/>
      <c r="U7" s="298"/>
      <c r="V7" s="397"/>
      <c r="W7" s="298"/>
      <c r="X7" s="298"/>
      <c r="Y7" s="298"/>
      <c r="Z7" s="397"/>
      <c r="AA7" s="298"/>
      <c r="AB7" s="298"/>
    </row>
    <row r="8" spans="1:32" ht="30">
      <c r="A8" s="388"/>
      <c r="B8" s="298"/>
      <c r="C8" s="298"/>
      <c r="D8" s="298"/>
      <c r="E8" s="389"/>
      <c r="F8" s="298"/>
      <c r="G8" s="298"/>
      <c r="H8" s="298"/>
      <c r="I8" s="298"/>
      <c r="J8" s="397"/>
      <c r="K8" s="298"/>
      <c r="L8" s="298"/>
      <c r="M8" s="298"/>
      <c r="N8" s="397"/>
      <c r="O8" s="298"/>
      <c r="P8" s="298"/>
      <c r="Q8" s="298"/>
      <c r="R8" s="298"/>
      <c r="S8" s="298"/>
      <c r="T8" s="298"/>
      <c r="U8" s="298"/>
      <c r="V8" s="397"/>
      <c r="W8" s="298"/>
      <c r="X8" s="298"/>
      <c r="Y8" s="298"/>
      <c r="Z8" s="397"/>
      <c r="AA8" s="298"/>
      <c r="AB8" s="298"/>
    </row>
    <row r="9" spans="1:32" ht="31" thickBot="1">
      <c r="A9" s="388"/>
      <c r="B9" s="298"/>
      <c r="C9" s="298"/>
      <c r="D9" s="298"/>
      <c r="E9" s="389"/>
      <c r="F9" s="298"/>
      <c r="G9" s="298"/>
      <c r="H9" s="298"/>
      <c r="I9" s="298"/>
      <c r="J9" s="397"/>
      <c r="K9" s="298"/>
      <c r="L9" s="298"/>
      <c r="M9" s="298"/>
      <c r="N9" s="397"/>
      <c r="O9" s="298"/>
      <c r="P9" s="298"/>
      <c r="Q9" s="298"/>
      <c r="R9" s="298"/>
      <c r="S9" s="298"/>
      <c r="T9" s="298"/>
      <c r="U9" s="298"/>
      <c r="V9" s="397"/>
      <c r="W9" s="298"/>
      <c r="X9" s="298"/>
      <c r="Y9" s="298"/>
      <c r="Z9" s="397"/>
      <c r="AA9" s="298"/>
      <c r="AB9" s="298"/>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125570171.08714384</v>
      </c>
      <c r="AF11" s="18">
        <f>X13*O13</f>
        <v>4192856503.270453</v>
      </c>
    </row>
    <row r="12" spans="1:32" ht="15" customHeight="1" thickBot="1">
      <c r="A12" s="268"/>
      <c r="B12" s="268" t="s">
        <v>48</v>
      </c>
      <c r="C12" s="269">
        <f>SUM(C15:C29)</f>
        <v>107701658.72390223</v>
      </c>
      <c r="D12" s="269"/>
      <c r="E12" s="269">
        <f>SUM(E15:E29)</f>
        <v>8.2584303140560297E-2</v>
      </c>
      <c r="F12" s="270"/>
      <c r="G12" s="270"/>
      <c r="H12" s="270"/>
      <c r="I12" s="270"/>
      <c r="J12" s="270"/>
      <c r="K12" s="501"/>
      <c r="L12" s="270"/>
      <c r="M12" s="270"/>
      <c r="N12" s="270"/>
      <c r="O12" s="276">
        <f>SUM(O15:O29)</f>
        <v>4292427812.0017037</v>
      </c>
      <c r="P12" s="268"/>
      <c r="Q12" s="269">
        <f>SUM(Q15:Q29)</f>
        <v>3.2913806884261971</v>
      </c>
      <c r="R12" s="270"/>
      <c r="S12" s="270"/>
      <c r="T12" s="270"/>
      <c r="U12" s="270"/>
      <c r="V12" s="270"/>
      <c r="W12" s="501"/>
      <c r="X12" s="270"/>
      <c r="Y12" s="270"/>
      <c r="Z12" s="270"/>
      <c r="AA12" s="235"/>
      <c r="AB12" s="236"/>
      <c r="AD12" s="16" t="s">
        <v>887</v>
      </c>
      <c r="AE12" s="18">
        <f>K13*C13</f>
        <v>50625837.306278266</v>
      </c>
      <c r="AF12" s="18">
        <f>W13*O13</f>
        <v>70602093.201611981</v>
      </c>
    </row>
    <row r="13" spans="1:32" ht="15" customHeight="1" thickTop="1" thickBot="1">
      <c r="A13" s="271"/>
      <c r="B13" s="271" t="s">
        <v>870</v>
      </c>
      <c r="C13" s="272">
        <f>SUM(C15:C22,C25)</f>
        <v>180074745.08092722</v>
      </c>
      <c r="D13" s="272"/>
      <c r="E13" s="272">
        <f>SUM(E15:E22,E25)</f>
        <v>0.13807909285636671</v>
      </c>
      <c r="F13" s="282">
        <f>SUMPRODUCT(F15:F25,$C$15:$C$25)/SUM($C$15:$C$25)</f>
        <v>0.99553425833846243</v>
      </c>
      <c r="G13" s="282">
        <f t="shared" ref="G13:M13" si="0">SUMPRODUCT(G15:G25,$C$15:$C$25)/SUM($C$15:$C$25)</f>
        <v>1.9728412183666697E-3</v>
      </c>
      <c r="H13" s="282">
        <f t="shared" si="0"/>
        <v>2.492900443170886E-3</v>
      </c>
      <c r="I13" s="282">
        <f t="shared" si="0"/>
        <v>0</v>
      </c>
      <c r="J13" s="430">
        <f>SUM(F13:I13)</f>
        <v>1</v>
      </c>
      <c r="K13" s="393">
        <f t="shared" si="0"/>
        <v>0.28113790905841102</v>
      </c>
      <c r="L13" s="282">
        <f>SUMPRODUCT(L15:L25,$C$15:$C$25)/SUM($C$15:$C$25)</f>
        <v>0.6973224981143884</v>
      </c>
      <c r="M13" s="282">
        <f t="shared" si="0"/>
        <v>2.1539592827200679E-2</v>
      </c>
      <c r="N13" s="430">
        <f>SUM(K13:M13)</f>
        <v>1</v>
      </c>
      <c r="O13" s="277">
        <f>SUM(O15:O22,O25)</f>
        <v>4364800898.3587284</v>
      </c>
      <c r="P13" s="271"/>
      <c r="Q13" s="272">
        <f>SUM(Q15:Q22,Q25)</f>
        <v>3.3468754781420036</v>
      </c>
      <c r="R13" s="282">
        <f>SUMPRODUCT(R15:R25,$O$15:$O$25)/SUM($O$15:$O$25)</f>
        <v>0.97254049614795623</v>
      </c>
      <c r="S13" s="282">
        <f t="shared" ref="S13:Y13" si="1">SUMPRODUCT(S15:S25,$O$15:$O$25)/SUM($O$15:$O$25)</f>
        <v>1.2529456157770907E-2</v>
      </c>
      <c r="T13" s="282">
        <f t="shared" si="1"/>
        <v>1.4930047694272839E-2</v>
      </c>
      <c r="U13" s="282">
        <f t="shared" si="1"/>
        <v>0</v>
      </c>
      <c r="V13" s="430">
        <f>SUM(R13:U13)</f>
        <v>1</v>
      </c>
      <c r="W13" s="393">
        <f t="shared" si="1"/>
        <v>1.6175329607396316E-2</v>
      </c>
      <c r="X13" s="282">
        <f>SUMPRODUCT(X15:X25,$O$15:$O$25)/SUM($O$15:$O$25)</f>
        <v>0.960606589145239</v>
      </c>
      <c r="Y13" s="282">
        <f t="shared" si="1"/>
        <v>2.3218081247364741E-2</v>
      </c>
      <c r="Z13" s="430">
        <f>SUM(W13:Y13)</f>
        <v>1</v>
      </c>
      <c r="AA13" s="702"/>
      <c r="AB13" s="703"/>
      <c r="AD13" s="16" t="s">
        <v>888</v>
      </c>
      <c r="AE13" s="18">
        <f>M13*C13</f>
        <v>3878736.6875051307</v>
      </c>
      <c r="AF13" s="18">
        <f>Y13*O13</f>
        <v>101342301.88666357</v>
      </c>
    </row>
    <row r="14" spans="1:32" ht="15" customHeight="1" thickTop="1" thickBot="1">
      <c r="A14" s="224" t="s">
        <v>591</v>
      </c>
      <c r="B14" s="232"/>
      <c r="C14" s="232"/>
      <c r="D14" s="232"/>
      <c r="E14" s="232"/>
      <c r="F14" s="520"/>
      <c r="G14" s="244"/>
      <c r="H14" s="244"/>
      <c r="I14" s="244"/>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23"/>
      <c r="B15" s="232" t="s">
        <v>882</v>
      </c>
      <c r="C15" s="243">
        <f>D15*AA15</f>
        <v>55260000</v>
      </c>
      <c r="D15" s="243">
        <v>1.8</v>
      </c>
      <c r="E15" s="243">
        <f>C15/AB15</f>
        <v>4.2372686229897032E-2</v>
      </c>
      <c r="F15" s="240">
        <v>1</v>
      </c>
      <c r="G15" s="240"/>
      <c r="H15" s="240"/>
      <c r="I15" s="240"/>
      <c r="J15" s="430">
        <f t="shared" ref="J15:J25" si="2">SUM(F15:I15)</f>
        <v>1</v>
      </c>
      <c r="K15" s="299">
        <v>0.4</v>
      </c>
      <c r="L15" s="300">
        <v>0.6</v>
      </c>
      <c r="M15" s="240"/>
      <c r="N15" s="430">
        <f>SUM(K15:M15)</f>
        <v>1</v>
      </c>
      <c r="O15" s="677">
        <f>P15*AA15</f>
        <v>55260000</v>
      </c>
      <c r="P15" s="243">
        <f>D15</f>
        <v>1.8</v>
      </c>
      <c r="Q15" s="243">
        <f>O15/AB15</f>
        <v>4.2372686229897032E-2</v>
      </c>
      <c r="R15" s="240">
        <v>1</v>
      </c>
      <c r="S15" s="240"/>
      <c r="T15" s="240"/>
      <c r="U15" s="240"/>
      <c r="V15" s="430">
        <f>SUM(R15:U15)</f>
        <v>1</v>
      </c>
      <c r="W15" s="299">
        <v>0.4</v>
      </c>
      <c r="X15" s="300">
        <v>0.6</v>
      </c>
      <c r="Y15" s="240"/>
      <c r="Z15" s="430">
        <f>SUM(W15:Y15)</f>
        <v>1</v>
      </c>
      <c r="AA15" s="706">
        <f>10^6*(26.5+4.2)</f>
        <v>30700000</v>
      </c>
      <c r="AB15" s="707">
        <f>'Energy data by fuel cycle'!$F$17</f>
        <v>1304142005.5405886</v>
      </c>
      <c r="AD15" s="16" t="s">
        <v>267</v>
      </c>
      <c r="AE15" s="18">
        <f>F13*C13</f>
        <v>179270577.78962857</v>
      </c>
      <c r="AF15" s="18">
        <f>R13*O13</f>
        <v>4244945631.2768426</v>
      </c>
    </row>
    <row r="16" spans="1:32" ht="15" customHeight="1" thickTop="1" thickBot="1">
      <c r="A16" s="223"/>
      <c r="B16" s="232" t="s">
        <v>883</v>
      </c>
      <c r="C16" s="243">
        <f>D16*AA16</f>
        <v>12180000</v>
      </c>
      <c r="D16" s="243">
        <v>2.1</v>
      </c>
      <c r="E16" s="243">
        <f>C16/AB16</f>
        <v>9.3394737292824079E-3</v>
      </c>
      <c r="F16" s="240">
        <v>1</v>
      </c>
      <c r="G16" s="240"/>
      <c r="H16" s="240"/>
      <c r="I16" s="240"/>
      <c r="J16" s="430">
        <f t="shared" si="2"/>
        <v>1</v>
      </c>
      <c r="K16" s="299">
        <v>0.4</v>
      </c>
      <c r="L16" s="300">
        <v>0.6</v>
      </c>
      <c r="M16" s="240"/>
      <c r="N16" s="430">
        <f>SUM(K16:M16)</f>
        <v>1</v>
      </c>
      <c r="O16" s="677">
        <f>P16*AA16</f>
        <v>12180000</v>
      </c>
      <c r="P16" s="243">
        <f>D16</f>
        <v>2.1</v>
      </c>
      <c r="Q16" s="243">
        <f>O16/AB16</f>
        <v>9.3394737292824079E-3</v>
      </c>
      <c r="R16" s="240">
        <v>1</v>
      </c>
      <c r="S16" s="240"/>
      <c r="T16" s="240"/>
      <c r="U16" s="240"/>
      <c r="V16" s="430">
        <f>SUM(R16:U16)</f>
        <v>1</v>
      </c>
      <c r="W16" s="299">
        <v>0.4</v>
      </c>
      <c r="X16" s="300">
        <v>0.6</v>
      </c>
      <c r="Y16" s="240"/>
      <c r="Z16" s="430">
        <f>SUM(W16:Y16)</f>
        <v>1</v>
      </c>
      <c r="AA16" s="706">
        <f>10^6*(1.7+4.1)</f>
        <v>5800000</v>
      </c>
      <c r="AB16" s="707">
        <f>'Energy data by fuel cycle'!$F$17</f>
        <v>1304142005.5405886</v>
      </c>
      <c r="AD16" s="16" t="s">
        <v>654</v>
      </c>
      <c r="AE16" s="18">
        <f>G13*C13</f>
        <v>355258.87948252395</v>
      </c>
      <c r="AF16" s="18">
        <f>S13*O13</f>
        <v>54688581.493384756</v>
      </c>
    </row>
    <row r="17" spans="1:32" ht="15" customHeight="1" thickTop="1" thickBot="1">
      <c r="A17" s="232"/>
      <c r="B17" s="232" t="s">
        <v>884</v>
      </c>
      <c r="C17" s="243">
        <f>D17*AA17</f>
        <v>2470000.0000000005</v>
      </c>
      <c r="D17" s="243">
        <v>1.3</v>
      </c>
      <c r="E17" s="243">
        <f>C17/AB17</f>
        <v>1.8939655263815725E-3</v>
      </c>
      <c r="F17" s="240">
        <v>1</v>
      </c>
      <c r="G17" s="240"/>
      <c r="H17" s="240"/>
      <c r="I17" s="240"/>
      <c r="J17" s="430">
        <f t="shared" si="2"/>
        <v>1</v>
      </c>
      <c r="K17" s="299">
        <v>0.4</v>
      </c>
      <c r="L17" s="300">
        <v>0.6</v>
      </c>
      <c r="M17" s="240"/>
      <c r="N17" s="430">
        <f>SUM(K17:M17)</f>
        <v>1</v>
      </c>
      <c r="O17" s="677">
        <f>P17*AA17</f>
        <v>2470000.0000000005</v>
      </c>
      <c r="P17" s="243">
        <f>D17</f>
        <v>1.3</v>
      </c>
      <c r="Q17" s="243">
        <f>O17/AB17</f>
        <v>1.8939655263815725E-3</v>
      </c>
      <c r="R17" s="240">
        <v>1</v>
      </c>
      <c r="S17" s="240"/>
      <c r="T17" s="240"/>
      <c r="U17" s="240"/>
      <c r="V17" s="430">
        <f>SUM(R17:U17)</f>
        <v>1</v>
      </c>
      <c r="W17" s="299">
        <v>0.4</v>
      </c>
      <c r="X17" s="300">
        <v>0.6</v>
      </c>
      <c r="Y17" s="240"/>
      <c r="Z17" s="430">
        <f>SUM(W17:Y17)</f>
        <v>1</v>
      </c>
      <c r="AA17" s="706">
        <f>10^6*(1.1+0.8)</f>
        <v>1900000.0000000002</v>
      </c>
      <c r="AB17" s="707">
        <f>'Energy data by fuel cycle'!$F$17</f>
        <v>1304142005.5405886</v>
      </c>
      <c r="AD17" s="16" t="s">
        <v>889</v>
      </c>
      <c r="AE17" s="18">
        <f>H13*C13</f>
        <v>448908.41181612777</v>
      </c>
      <c r="AF17" s="18">
        <f>T13*O13</f>
        <v>65166685.588500746</v>
      </c>
    </row>
    <row r="18" spans="1:32" ht="15" customHeight="1" thickTop="1" thickBot="1">
      <c r="A18" s="232"/>
      <c r="B18" s="232" t="s">
        <v>885</v>
      </c>
      <c r="C18" s="243">
        <f>D18*AA18</f>
        <v>3040000</v>
      </c>
      <c r="D18" s="243">
        <v>1.6</v>
      </c>
      <c r="E18" s="243">
        <f>C18/AB18</f>
        <v>2.3310344940080888E-3</v>
      </c>
      <c r="F18" s="240">
        <v>1</v>
      </c>
      <c r="G18" s="240"/>
      <c r="H18" s="240"/>
      <c r="I18" s="240"/>
      <c r="J18" s="430">
        <f t="shared" si="2"/>
        <v>1</v>
      </c>
      <c r="K18" s="299">
        <v>0.4</v>
      </c>
      <c r="L18" s="300">
        <v>0.6</v>
      </c>
      <c r="M18" s="240"/>
      <c r="N18" s="430">
        <f>SUM(K18:M18)</f>
        <v>1</v>
      </c>
      <c r="O18" s="677">
        <f>P18*AA18</f>
        <v>3040000</v>
      </c>
      <c r="P18" s="243">
        <f>D18</f>
        <v>1.6</v>
      </c>
      <c r="Q18" s="243">
        <f>O18/AB18</f>
        <v>2.3310344940080888E-3</v>
      </c>
      <c r="R18" s="240">
        <v>1</v>
      </c>
      <c r="S18" s="240"/>
      <c r="T18" s="240"/>
      <c r="U18" s="240"/>
      <c r="V18" s="430">
        <f>SUM(R18:U18)</f>
        <v>1</v>
      </c>
      <c r="W18" s="299">
        <v>0.4</v>
      </c>
      <c r="X18" s="300">
        <v>0.6</v>
      </c>
      <c r="Y18" s="240"/>
      <c r="Z18" s="430">
        <f>SUM(W18:Y18)</f>
        <v>1</v>
      </c>
      <c r="AA18" s="706">
        <f>10^6*(1.3+0.6)</f>
        <v>1900000</v>
      </c>
      <c r="AB18" s="707">
        <f>'Energy data by fuel cycle'!$F$17</f>
        <v>1304142005.5405886</v>
      </c>
      <c r="AD18" s="16" t="s">
        <v>890</v>
      </c>
      <c r="AE18" s="18">
        <f>I13*C13</f>
        <v>0</v>
      </c>
      <c r="AF18" s="18">
        <f>U13*O13</f>
        <v>0</v>
      </c>
    </row>
    <row r="19" spans="1:32" ht="15" customHeight="1" thickTop="1" thickBot="1">
      <c r="A19" s="232"/>
      <c r="B19" s="232" t="s">
        <v>886</v>
      </c>
      <c r="C19" s="243">
        <f>D19*AA19</f>
        <v>640000</v>
      </c>
      <c r="D19" s="243">
        <v>3.2</v>
      </c>
      <c r="E19" s="243">
        <f>C19/AB19</f>
        <v>4.9074410400170286E-4</v>
      </c>
      <c r="F19" s="240">
        <v>1</v>
      </c>
      <c r="G19" s="240"/>
      <c r="H19" s="240"/>
      <c r="I19" s="240"/>
      <c r="J19" s="430">
        <f t="shared" si="2"/>
        <v>1</v>
      </c>
      <c r="K19" s="299">
        <v>0.4</v>
      </c>
      <c r="L19" s="300">
        <v>0.6</v>
      </c>
      <c r="M19" s="240"/>
      <c r="N19" s="430">
        <f>SUM(K19:M19)</f>
        <v>1</v>
      </c>
      <c r="O19" s="677">
        <f>P19*AA19</f>
        <v>640000</v>
      </c>
      <c r="P19" s="243">
        <f>D19</f>
        <v>3.2</v>
      </c>
      <c r="Q19" s="243">
        <f>O19/AB19</f>
        <v>4.9074410400170286E-4</v>
      </c>
      <c r="R19" s="240">
        <v>1</v>
      </c>
      <c r="S19" s="240"/>
      <c r="T19" s="240"/>
      <c r="U19" s="240"/>
      <c r="V19" s="430">
        <f>SUM(R19:U19)</f>
        <v>1</v>
      </c>
      <c r="W19" s="299">
        <v>0.4</v>
      </c>
      <c r="X19" s="300">
        <v>0.6</v>
      </c>
      <c r="Y19" s="240"/>
      <c r="Z19" s="430">
        <f>SUM(W19:Y19)</f>
        <v>1</v>
      </c>
      <c r="AA19" s="706">
        <f>10^6*(0.2)</f>
        <v>200000</v>
      </c>
      <c r="AB19" s="707">
        <f>'Energy data by fuel cycle'!$F$17</f>
        <v>1304142005.5405886</v>
      </c>
    </row>
    <row r="20" spans="1:32" ht="15" customHeight="1" thickTop="1">
      <c r="A20" s="232"/>
      <c r="B20" s="232"/>
      <c r="C20" s="232"/>
      <c r="D20" s="232"/>
      <c r="E20" s="232"/>
      <c r="F20" s="240"/>
      <c r="G20" s="240"/>
      <c r="H20" s="240"/>
      <c r="I20" s="240"/>
      <c r="J20" s="425"/>
      <c r="K20" s="299"/>
      <c r="L20" s="300"/>
      <c r="M20" s="240"/>
      <c r="N20" s="431"/>
      <c r="O20" s="680"/>
      <c r="P20" s="232"/>
      <c r="Q20" s="232"/>
      <c r="R20" s="240"/>
      <c r="S20" s="240"/>
      <c r="T20" s="240"/>
      <c r="U20" s="240"/>
      <c r="V20" s="425"/>
      <c r="W20" s="299"/>
      <c r="X20" s="300"/>
      <c r="Y20" s="240"/>
      <c r="Z20" s="431"/>
      <c r="AA20" s="706"/>
      <c r="AB20" s="707"/>
      <c r="AD20" s="16" t="s">
        <v>614</v>
      </c>
      <c r="AE20" s="419">
        <f>SUM(C15:C19)</f>
        <v>73590000</v>
      </c>
      <c r="AF20" s="419">
        <f>SUM(O15:O19)</f>
        <v>73590000</v>
      </c>
    </row>
    <row r="21" spans="1:32" ht="15" customHeight="1" thickBot="1">
      <c r="A21" s="222" t="s">
        <v>68</v>
      </c>
      <c r="B21" s="232"/>
      <c r="C21" s="232"/>
      <c r="D21" s="232"/>
      <c r="E21" s="232"/>
      <c r="F21" s="240"/>
      <c r="G21" s="240"/>
      <c r="H21" s="240"/>
      <c r="I21" s="240"/>
      <c r="J21" s="425"/>
      <c r="K21" s="299"/>
      <c r="L21" s="300"/>
      <c r="M21" s="240"/>
      <c r="N21" s="431"/>
      <c r="O21" s="680"/>
      <c r="P21" s="232"/>
      <c r="Q21" s="232"/>
      <c r="R21" s="240"/>
      <c r="S21" s="240"/>
      <c r="T21" s="240"/>
      <c r="U21" s="240"/>
      <c r="V21" s="425"/>
      <c r="W21" s="299"/>
      <c r="X21" s="300"/>
      <c r="Y21" s="240"/>
      <c r="Z21" s="431"/>
      <c r="AA21" s="706"/>
      <c r="AB21" s="707"/>
      <c r="AD21" s="16" t="s">
        <v>82</v>
      </c>
    </row>
    <row r="22" spans="1:32" ht="15" customHeight="1" thickTop="1" thickBot="1">
      <c r="A22" s="232"/>
      <c r="B22" s="232" t="s">
        <v>487</v>
      </c>
      <c r="C22" s="243">
        <f>SUM('Sankey conversion input'!$E$105:$E$116)-C25</f>
        <v>104048961.67584115</v>
      </c>
      <c r="D22" s="302">
        <f>C22/AA22</f>
        <v>0.48401084541239542</v>
      </c>
      <c r="E22" s="302">
        <f>C22/AB22</f>
        <v>7.9783460109247167E-2</v>
      </c>
      <c r="F22" s="240">
        <f>SUM('Sankey conversion input'!$E$105,'Sankey conversion input'!$E$109,'Sankey conversion input'!$E$113,-C25)/$C$22</f>
        <v>0.99227126077621042</v>
      </c>
      <c r="G22" s="247">
        <f>SUM('Sankey conversion input'!$E$106,'Sankey conversion input'!$E$110,'Sankey conversion input'!$E$114)/$C$22</f>
        <v>3.4143433414483611E-3</v>
      </c>
      <c r="H22" s="247">
        <f>SUM('Sankey conversion input'!$E$107,'Sankey conversion input'!$E$111,'Sankey conversion input'!$E$115)/$C$22</f>
        <v>4.3143958823412135E-3</v>
      </c>
      <c r="I22" s="326"/>
      <c r="J22" s="430">
        <f t="shared" si="2"/>
        <v>1</v>
      </c>
      <c r="K22" s="299">
        <f>SUM('Absolute Volume'!K215:K218)/C22</f>
        <v>0.20342798435799597</v>
      </c>
      <c r="L22" s="300">
        <f>SUM('Absolute Volume'!K219:K222)/C22</f>
        <v>0.75984687624251646</v>
      </c>
      <c r="M22" s="240">
        <f>SUM('Absolute Volume'!K223:K226)/C22</f>
        <v>3.6725139399487676E-2</v>
      </c>
      <c r="N22" s="430">
        <f>SUM(K22:M22)</f>
        <v>1</v>
      </c>
      <c r="O22" s="677">
        <f>SUM('Sankey conversion input'!$D$105:$D$116)-O25</f>
        <v>4288775114.9536424</v>
      </c>
      <c r="P22" s="302">
        <f>O22/AA22</f>
        <v>19.950354484453577</v>
      </c>
      <c r="Q22" s="302">
        <f>O22/AB22</f>
        <v>3.2885798453948838</v>
      </c>
      <c r="R22" s="240">
        <f>SUM('Sankey conversion input'!$D$105,'Sankey conversion input'!$D$109,'Sankey conversion input'!$D$113-O25)/$O$22</f>
        <v>0.97205373005826601</v>
      </c>
      <c r="S22" s="240">
        <f>SUM('Sankey conversion input'!$D$106,'Sankey conversion input'!$D$110,'Sankey conversion input'!$D$114)/$O$22</f>
        <v>1.275156193261392E-2</v>
      </c>
      <c r="T22" s="240">
        <f>SUM('Sankey conversion input'!$D$107,'Sankey conversion input'!$D$111,'Sankey conversion input'!$D$115)/$O$22</f>
        <v>1.5194708009120022E-2</v>
      </c>
      <c r="U22" s="325"/>
      <c r="V22" s="430">
        <f>SUM(R22:U22)</f>
        <v>1</v>
      </c>
      <c r="W22" s="299">
        <f>SUM('Absolute Volume'!L215:L218)/O22</f>
        <v>9.5931181609733747E-3</v>
      </c>
      <c r="X22" s="300">
        <f>SUM('Absolute Volume'!L219:L222)/O22</f>
        <v>0.96679063358485107</v>
      </c>
      <c r="Y22" s="240">
        <f>SUM('Absolute Volume'!L223:L226)/O22</f>
        <v>2.3616248254175586E-2</v>
      </c>
      <c r="Z22" s="430">
        <f>SUM(W22:Y22)</f>
        <v>1</v>
      </c>
      <c r="AA22" s="706">
        <f>'Energy data by fuel cycle'!$E$17</f>
        <v>214972376.47058824</v>
      </c>
      <c r="AB22" s="707">
        <f>'Energy data by fuel cycle'!$F$17</f>
        <v>1304142005.5405886</v>
      </c>
      <c r="AD22" s="16" t="s">
        <v>891</v>
      </c>
    </row>
    <row r="23" spans="1:32" ht="15" customHeight="1" thickTop="1">
      <c r="A23" s="232"/>
      <c r="B23" s="232"/>
      <c r="C23" s="232"/>
      <c r="D23" s="303"/>
      <c r="E23" s="303"/>
      <c r="F23" s="240"/>
      <c r="G23" s="240"/>
      <c r="H23" s="240"/>
      <c r="I23" s="240"/>
      <c r="J23" s="425"/>
      <c r="K23" s="299"/>
      <c r="L23" s="300"/>
      <c r="M23" s="240"/>
      <c r="N23" s="425"/>
      <c r="O23" s="680"/>
      <c r="P23" s="303"/>
      <c r="Q23" s="303"/>
      <c r="R23" s="240"/>
      <c r="S23" s="240"/>
      <c r="T23" s="240"/>
      <c r="U23" s="240"/>
      <c r="V23" s="425"/>
      <c r="W23" s="299"/>
      <c r="X23" s="300"/>
      <c r="Y23" s="240"/>
      <c r="Z23" s="425"/>
      <c r="AA23" s="706"/>
      <c r="AB23" s="707"/>
      <c r="AD23" s="16" t="s">
        <v>892</v>
      </c>
      <c r="AE23" s="419">
        <f>C22</f>
        <v>104048961.67584115</v>
      </c>
      <c r="AF23" s="419">
        <f>O22</f>
        <v>4288775114.9536424</v>
      </c>
    </row>
    <row r="24" spans="1:32" ht="15" customHeight="1" thickBot="1">
      <c r="A24" s="218" t="s">
        <v>69</v>
      </c>
      <c r="B24" s="232"/>
      <c r="C24" s="232"/>
      <c r="D24" s="303"/>
      <c r="E24" s="303"/>
      <c r="F24" s="240"/>
      <c r="G24" s="240"/>
      <c r="H24" s="240"/>
      <c r="I24" s="240"/>
      <c r="J24" s="425"/>
      <c r="K24" s="299"/>
      <c r="L24" s="300"/>
      <c r="M24" s="240"/>
      <c r="N24" s="425"/>
      <c r="O24" s="680"/>
      <c r="P24" s="303"/>
      <c r="Q24" s="303"/>
      <c r="R24" s="240"/>
      <c r="S24" s="240"/>
      <c r="T24" s="240"/>
      <c r="U24" s="240"/>
      <c r="V24" s="425"/>
      <c r="W24" s="299"/>
      <c r="X24" s="300"/>
      <c r="Y24" s="240"/>
      <c r="Z24" s="425"/>
      <c r="AA24" s="706"/>
      <c r="AB24" s="707"/>
      <c r="AD24" s="16" t="s">
        <v>893</v>
      </c>
      <c r="AE24" s="18">
        <f>C25</f>
        <v>2435783.4050860796</v>
      </c>
      <c r="AF24" s="18">
        <f>O25</f>
        <v>2435783.4050860796</v>
      </c>
    </row>
    <row r="25" spans="1:32" ht="15" customHeight="1" thickTop="1" thickBot="1">
      <c r="A25" s="232"/>
      <c r="B25" s="232" t="s">
        <v>489</v>
      </c>
      <c r="C25" s="32">
        <v>2435783.4050860796</v>
      </c>
      <c r="D25" s="302">
        <f>C25/AA25</f>
        <v>3.1825015251048497E-3</v>
      </c>
      <c r="E25" s="302">
        <f>C25/AB25</f>
        <v>1.8677286635487265E-3</v>
      </c>
      <c r="F25" s="240">
        <v>1</v>
      </c>
      <c r="G25" s="240"/>
      <c r="H25" s="240"/>
      <c r="I25" s="240"/>
      <c r="J25" s="430">
        <f t="shared" si="2"/>
        <v>1</v>
      </c>
      <c r="K25" s="503">
        <f>W25</f>
        <v>9.5931181609733747E-3</v>
      </c>
      <c r="L25" s="347">
        <f>X25</f>
        <v>0.96679063358485107</v>
      </c>
      <c r="M25" s="304">
        <f>Y25</f>
        <v>2.3616248254175586E-2</v>
      </c>
      <c r="N25" s="430">
        <f>SUM(K25:M25)</f>
        <v>1</v>
      </c>
      <c r="O25" s="698">
        <f>C25</f>
        <v>2435783.4050860796</v>
      </c>
      <c r="P25" s="32">
        <f>O25/AA25</f>
        <v>3.1825015251048497E-3</v>
      </c>
      <c r="Q25" s="32">
        <f>O25/AB25</f>
        <v>1.8677286635487265E-3</v>
      </c>
      <c r="R25" s="240">
        <v>1</v>
      </c>
      <c r="S25" s="240"/>
      <c r="T25" s="240"/>
      <c r="U25" s="240"/>
      <c r="V25" s="430">
        <f>SUM(R25:U25)</f>
        <v>1</v>
      </c>
      <c r="W25" s="503">
        <f>SUM('Sankey conversion input'!$D$109:$D$112)/($O$22+O25)</f>
        <v>9.5931181609733747E-3</v>
      </c>
      <c r="X25" s="497">
        <f>SUM('Sankey conversion input'!$D$105:$D$108)/($O$22+O25)</f>
        <v>0.96679063358485107</v>
      </c>
      <c r="Y25" s="304">
        <f>SUM('Sankey conversion input'!$D$113:$D$116)/($O$22+O25)</f>
        <v>2.3616248254175586E-2</v>
      </c>
      <c r="Z25" s="430">
        <f>SUM(W25:Y25)</f>
        <v>1</v>
      </c>
      <c r="AA25" s="706">
        <v>765367553.125</v>
      </c>
      <c r="AB25" s="707">
        <f>'Energy data by fuel cycle'!$F$17</f>
        <v>1304142005.5405886</v>
      </c>
    </row>
    <row r="26" spans="1:32" ht="15" customHeight="1" thickTop="1">
      <c r="A26" s="232"/>
      <c r="B26" s="232"/>
      <c r="C26" s="306"/>
      <c r="D26" s="305"/>
      <c r="E26" s="305"/>
      <c r="F26" s="307"/>
      <c r="G26" s="307"/>
      <c r="H26" s="307"/>
      <c r="I26" s="307"/>
      <c r="J26" s="434"/>
      <c r="K26" s="504"/>
      <c r="L26" s="307"/>
      <c r="M26" s="307"/>
      <c r="N26" s="434"/>
      <c r="O26" s="693"/>
      <c r="P26" s="305"/>
      <c r="Q26" s="305"/>
      <c r="R26" s="307"/>
      <c r="S26" s="307"/>
      <c r="T26" s="307"/>
      <c r="U26" s="307"/>
      <c r="V26" s="434"/>
      <c r="W26" s="504"/>
      <c r="X26" s="307"/>
      <c r="Y26" s="307"/>
      <c r="Z26" s="434"/>
      <c r="AA26" s="706"/>
      <c r="AB26" s="707"/>
    </row>
    <row r="27" spans="1:32" ht="15" customHeight="1" thickBot="1">
      <c r="A27" s="257" t="s">
        <v>413</v>
      </c>
      <c r="B27" s="232"/>
      <c r="C27" s="232"/>
      <c r="D27" s="232"/>
      <c r="E27" s="232"/>
      <c r="F27" s="232"/>
      <c r="G27" s="232"/>
      <c r="H27" s="232"/>
      <c r="I27" s="232"/>
      <c r="J27" s="431"/>
      <c r="K27" s="301"/>
      <c r="L27" s="244"/>
      <c r="M27" s="232"/>
      <c r="N27" s="431"/>
      <c r="O27" s="680"/>
      <c r="P27" s="232"/>
      <c r="Q27" s="232"/>
      <c r="R27" s="232"/>
      <c r="S27" s="232"/>
      <c r="T27" s="232"/>
      <c r="U27" s="232"/>
      <c r="V27" s="431"/>
      <c r="W27" s="301"/>
      <c r="X27" s="244"/>
      <c r="Y27" s="232"/>
      <c r="Z27" s="431"/>
      <c r="AA27" s="301"/>
      <c r="AB27" s="708"/>
    </row>
    <row r="28" spans="1:32" ht="15" customHeight="1" thickTop="1" thickBot="1">
      <c r="A28" s="232"/>
      <c r="B28" s="232" t="s">
        <v>563</v>
      </c>
      <c r="C28" s="243">
        <f>AA28*D28</f>
        <v>-54023385.780700006</v>
      </c>
      <c r="D28" s="302">
        <v>-3.5000000000000003E-2</v>
      </c>
      <c r="E28" s="302">
        <f>C28/AB28</f>
        <v>-4.1424465703262435E-2</v>
      </c>
      <c r="F28" s="240">
        <v>1</v>
      </c>
      <c r="G28" s="240"/>
      <c r="H28" s="240"/>
      <c r="I28" s="240"/>
      <c r="J28" s="430">
        <f>SUM(F28:I28)</f>
        <v>1</v>
      </c>
      <c r="K28" s="299"/>
      <c r="L28" s="300">
        <v>1</v>
      </c>
      <c r="M28" s="240"/>
      <c r="N28" s="430">
        <f>SUM(K28:M28)</f>
        <v>1</v>
      </c>
      <c r="O28" s="677">
        <f>AA28*P28</f>
        <v>-54023385.780700006</v>
      </c>
      <c r="P28" s="302">
        <f>D28</f>
        <v>-3.5000000000000003E-2</v>
      </c>
      <c r="Q28" s="302">
        <f>O28/AB28</f>
        <v>-4.1424465703262435E-2</v>
      </c>
      <c r="R28" s="240">
        <v>1</v>
      </c>
      <c r="S28" s="240"/>
      <c r="T28" s="240"/>
      <c r="U28" s="240"/>
      <c r="V28" s="430">
        <f>SUM(R28:U28)</f>
        <v>1</v>
      </c>
      <c r="W28" s="299"/>
      <c r="X28" s="300">
        <v>1</v>
      </c>
      <c r="Y28" s="240"/>
      <c r="Z28" s="430">
        <f>SUM(W28:Y28)</f>
        <v>1</v>
      </c>
      <c r="AA28" s="706">
        <v>1543525308.02</v>
      </c>
      <c r="AB28" s="707">
        <f>'Energy data by fuel cycle'!$F$17</f>
        <v>1304142005.5405886</v>
      </c>
    </row>
    <row r="29" spans="1:32" ht="15" customHeight="1" thickTop="1" thickBot="1">
      <c r="A29" s="232"/>
      <c r="B29" s="232" t="s">
        <v>564</v>
      </c>
      <c r="C29" s="243">
        <f>AA29*D29</f>
        <v>-18349700.576324996</v>
      </c>
      <c r="D29" s="302">
        <v>-5.8999999999999997E-2</v>
      </c>
      <c r="E29" s="302">
        <f>C29/AB29</f>
        <v>-1.407032401254397E-2</v>
      </c>
      <c r="F29" s="240">
        <v>1</v>
      </c>
      <c r="G29" s="240"/>
      <c r="H29" s="240"/>
      <c r="I29" s="240"/>
      <c r="J29" s="430">
        <f>SUM(F29:I29)</f>
        <v>1</v>
      </c>
      <c r="K29" s="299"/>
      <c r="L29" s="300">
        <v>1</v>
      </c>
      <c r="M29" s="240"/>
      <c r="N29" s="430">
        <f>SUM(K29:M29)</f>
        <v>1</v>
      </c>
      <c r="O29" s="677">
        <f>AA29*P29</f>
        <v>-18349700.576324996</v>
      </c>
      <c r="P29" s="302">
        <f>D29</f>
        <v>-5.8999999999999997E-2</v>
      </c>
      <c r="Q29" s="302">
        <f>O29/AB29</f>
        <v>-1.407032401254397E-2</v>
      </c>
      <c r="R29" s="240">
        <v>1</v>
      </c>
      <c r="S29" s="240"/>
      <c r="T29" s="240"/>
      <c r="U29" s="240"/>
      <c r="V29" s="430">
        <f>SUM(R29:U29)</f>
        <v>1</v>
      </c>
      <c r="W29" s="299"/>
      <c r="X29" s="300">
        <v>1</v>
      </c>
      <c r="Y29" s="240"/>
      <c r="Z29" s="430">
        <f>SUM(W29:Y29)</f>
        <v>1</v>
      </c>
      <c r="AA29" s="709">
        <v>311011874.17499995</v>
      </c>
      <c r="AB29" s="710">
        <f>'Energy data by fuel cycle'!$F$17</f>
        <v>1304142005.5405886</v>
      </c>
    </row>
    <row r="30" spans="1:32" ht="15" customHeight="1" thickTop="1">
      <c r="A30" s="19"/>
      <c r="I30" s="17"/>
      <c r="J30" s="514"/>
      <c r="K30" s="17"/>
      <c r="L30" s="17"/>
      <c r="M30" s="17"/>
      <c r="N30" s="514"/>
      <c r="O30" s="17"/>
      <c r="P30" s="17"/>
      <c r="Q30" s="17"/>
      <c r="R30" s="17"/>
      <c r="S30" s="17"/>
      <c r="T30" s="17"/>
      <c r="U30" s="17"/>
      <c r="V30" s="514"/>
      <c r="W30" s="17"/>
      <c r="X30" s="17"/>
      <c r="Z30" s="433"/>
    </row>
    <row r="31" spans="1:32" ht="15" customHeight="1">
      <c r="I31" s="17"/>
      <c r="J31" s="514"/>
      <c r="K31" s="17"/>
      <c r="L31" s="17"/>
      <c r="M31" s="17"/>
      <c r="N31" s="514"/>
      <c r="O31" s="17"/>
      <c r="P31" s="17"/>
      <c r="Q31" s="17"/>
      <c r="R31" s="17"/>
      <c r="S31" s="17"/>
      <c r="T31" s="17"/>
      <c r="U31" s="17"/>
      <c r="V31" s="514"/>
      <c r="W31" s="17"/>
      <c r="X31" s="17"/>
      <c r="Z31" s="433"/>
    </row>
    <row r="32" spans="1:32" ht="15" customHeight="1">
      <c r="I32" s="17"/>
      <c r="J32" s="514"/>
      <c r="K32" s="17"/>
      <c r="L32" s="17"/>
      <c r="M32" s="17"/>
      <c r="N32" s="514"/>
      <c r="O32" s="17"/>
      <c r="P32" s="17"/>
      <c r="Q32" s="17"/>
      <c r="R32" s="17"/>
      <c r="S32" s="17"/>
      <c r="T32" s="17"/>
      <c r="U32" s="17"/>
      <c r="V32" s="514"/>
      <c r="W32" s="17"/>
      <c r="X32" s="17"/>
      <c r="Z32" s="433"/>
    </row>
    <row r="33" spans="2:26" ht="15" customHeight="1">
      <c r="I33" s="17"/>
      <c r="J33" s="514"/>
      <c r="K33" s="17"/>
      <c r="L33" s="17"/>
      <c r="M33" s="17"/>
      <c r="N33" s="514"/>
      <c r="O33" s="17"/>
      <c r="P33" s="17"/>
      <c r="Q33" s="17"/>
      <c r="R33" s="17"/>
      <c r="S33" s="17"/>
      <c r="T33" s="17"/>
      <c r="U33" s="17"/>
      <c r="V33" s="514"/>
      <c r="W33" s="17"/>
      <c r="X33" s="17"/>
      <c r="Z33" s="433"/>
    </row>
    <row r="34" spans="2:26" ht="15" customHeight="1">
      <c r="I34" s="17"/>
      <c r="J34" s="514"/>
      <c r="K34" s="17"/>
      <c r="L34" s="17"/>
      <c r="M34" s="17"/>
      <c r="N34" s="514"/>
      <c r="O34" s="17"/>
      <c r="P34" s="17"/>
      <c r="Q34" s="17"/>
      <c r="R34" s="17"/>
      <c r="S34" s="17"/>
      <c r="T34" s="17"/>
      <c r="U34" s="17"/>
      <c r="V34" s="17"/>
      <c r="W34" s="17"/>
      <c r="X34" s="17"/>
    </row>
    <row r="35" spans="2:26" ht="15" customHeight="1">
      <c r="I35" s="17"/>
      <c r="J35" s="514"/>
      <c r="K35" s="17"/>
      <c r="L35" s="17"/>
      <c r="M35" s="17"/>
      <c r="N35" s="514"/>
      <c r="O35" s="17"/>
      <c r="P35" s="17"/>
      <c r="Q35" s="17"/>
      <c r="R35" s="17"/>
      <c r="S35" s="17"/>
      <c r="T35" s="17"/>
      <c r="U35" s="17"/>
      <c r="V35" s="514"/>
      <c r="W35" s="17"/>
      <c r="X35" s="17"/>
      <c r="Z35" s="433"/>
    </row>
    <row r="36" spans="2:26" ht="15" customHeight="1">
      <c r="J36" s="433"/>
      <c r="N36" s="433"/>
      <c r="V36" s="433"/>
      <c r="Z36" s="429"/>
    </row>
    <row r="37" spans="2:26" ht="15" customHeight="1">
      <c r="J37" s="433"/>
      <c r="N37" s="433"/>
      <c r="V37" s="433"/>
      <c r="Z37" s="433"/>
    </row>
    <row r="38" spans="2:26" ht="15" customHeight="1">
      <c r="J38" s="433"/>
      <c r="N38" s="433"/>
      <c r="V38" s="433"/>
      <c r="Z38" s="433"/>
    </row>
    <row r="39" spans="2:26" ht="15" customHeight="1">
      <c r="J39" s="433"/>
      <c r="N39" s="433"/>
      <c r="V39" s="433"/>
      <c r="Z39" s="433"/>
    </row>
    <row r="40" spans="2:26" ht="15" customHeight="1"/>
    <row r="41" spans="2:26" ht="15" customHeight="1"/>
    <row r="42" spans="2:26" ht="15" customHeight="1"/>
    <row r="43" spans="2:26" ht="15" customHeight="1"/>
    <row r="44" spans="2:26" ht="15" customHeight="1"/>
    <row r="45" spans="2:26" ht="15" customHeight="1"/>
    <row r="46" spans="2:26" ht="15" customHeight="1">
      <c r="B46" s="14"/>
    </row>
    <row r="47" spans="2:26" ht="15" customHeight="1"/>
    <row r="48" spans="2: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8502D"/>
    <pageSetUpPr fitToPage="1"/>
  </sheetPr>
  <dimension ref="A1:AF66"/>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7" width="10.83203125" style="16" customWidth="1"/>
    <col min="28" max="29" width="10.83203125" style="16"/>
    <col min="30" max="30" width="0" style="16" hidden="1" customWidth="1"/>
    <col min="31" max="31" width="11.33203125" style="16" hidden="1" customWidth="1"/>
    <col min="32" max="32" width="11.6640625" style="16" hidden="1" customWidth="1"/>
    <col min="33" max="16384" width="10.83203125" style="16"/>
  </cols>
  <sheetData>
    <row r="1" spans="1:32" ht="30">
      <c r="A1" s="295" t="s">
        <v>565</v>
      </c>
      <c r="B1" s="296"/>
      <c r="C1" s="482"/>
      <c r="D1" s="482"/>
      <c r="E1" s="297"/>
      <c r="F1" s="296"/>
      <c r="G1" s="296"/>
      <c r="H1" s="296"/>
      <c r="I1" s="296"/>
      <c r="J1" s="396"/>
      <c r="K1" s="296"/>
      <c r="L1" s="296"/>
      <c r="M1" s="296"/>
      <c r="N1" s="396"/>
      <c r="O1" s="296"/>
      <c r="P1" s="296"/>
      <c r="Q1" s="482"/>
      <c r="R1" s="482"/>
      <c r="S1" s="296"/>
      <c r="T1" s="296"/>
      <c r="U1" s="296"/>
      <c r="V1" s="396"/>
      <c r="W1" s="296"/>
      <c r="X1" s="296"/>
      <c r="Y1" s="296"/>
      <c r="Z1" s="396"/>
      <c r="AA1" s="296"/>
      <c r="AB1" s="296"/>
    </row>
    <row r="2" spans="1:32" ht="30">
      <c r="A2" s="295"/>
      <c r="B2" s="296"/>
      <c r="C2" s="296"/>
      <c r="D2" s="296"/>
      <c r="E2" s="297"/>
      <c r="F2" s="296"/>
      <c r="G2" s="296"/>
      <c r="H2" s="296"/>
      <c r="I2" s="296"/>
      <c r="J2" s="396"/>
      <c r="K2" s="296"/>
      <c r="L2" s="296"/>
      <c r="M2" s="296"/>
      <c r="N2" s="396"/>
      <c r="O2" s="296"/>
      <c r="P2" s="296"/>
      <c r="Q2" s="296"/>
      <c r="R2" s="296"/>
      <c r="S2" s="296"/>
      <c r="T2" s="296"/>
      <c r="U2" s="296"/>
      <c r="V2" s="396"/>
      <c r="W2" s="296"/>
      <c r="X2" s="296"/>
      <c r="Y2" s="296"/>
      <c r="Z2" s="396"/>
      <c r="AA2" s="296"/>
      <c r="AB2" s="296"/>
    </row>
    <row r="3" spans="1:32" ht="30">
      <c r="A3" s="295"/>
      <c r="B3" s="296"/>
      <c r="C3" s="296"/>
      <c r="D3" s="296"/>
      <c r="E3" s="297"/>
      <c r="F3" s="296"/>
      <c r="G3" s="296"/>
      <c r="H3" s="296"/>
      <c r="I3" s="296"/>
      <c r="J3" s="396"/>
      <c r="K3" s="296"/>
      <c r="L3" s="296"/>
      <c r="M3" s="296"/>
      <c r="N3" s="396"/>
      <c r="O3" s="296"/>
      <c r="P3" s="296"/>
      <c r="Q3" s="296"/>
      <c r="R3" s="296"/>
      <c r="S3" s="296"/>
      <c r="T3" s="296"/>
      <c r="U3" s="296"/>
      <c r="V3" s="396"/>
      <c r="W3" s="296"/>
      <c r="X3" s="296"/>
      <c r="Y3" s="296"/>
      <c r="Z3" s="396"/>
      <c r="AA3" s="296"/>
      <c r="AB3" s="296"/>
    </row>
    <row r="4" spans="1:32" ht="30">
      <c r="A4" s="295"/>
      <c r="B4" s="296"/>
      <c r="C4" s="296"/>
      <c r="D4" s="296"/>
      <c r="E4" s="297"/>
      <c r="F4" s="296"/>
      <c r="G4" s="296"/>
      <c r="H4" s="296"/>
      <c r="I4" s="296"/>
      <c r="J4" s="396"/>
      <c r="K4" s="296"/>
      <c r="L4" s="296"/>
      <c r="M4" s="296"/>
      <c r="N4" s="396"/>
      <c r="O4" s="296"/>
      <c r="P4" s="296"/>
      <c r="Q4" s="296"/>
      <c r="R4" s="296"/>
      <c r="S4" s="296"/>
      <c r="T4" s="296"/>
      <c r="U4" s="296"/>
      <c r="V4" s="396"/>
      <c r="W4" s="296"/>
      <c r="X4" s="296"/>
      <c r="Y4" s="296"/>
      <c r="Z4" s="396"/>
      <c r="AA4" s="296"/>
      <c r="AB4" s="296"/>
    </row>
    <row r="5" spans="1:32" ht="30">
      <c r="A5" s="295"/>
      <c r="B5" s="296"/>
      <c r="C5" s="296"/>
      <c r="D5" s="296"/>
      <c r="E5" s="297"/>
      <c r="F5" s="296"/>
      <c r="G5" s="296"/>
      <c r="H5" s="296"/>
      <c r="I5" s="296"/>
      <c r="J5" s="396"/>
      <c r="K5" s="296"/>
      <c r="L5" s="296"/>
      <c r="M5" s="296"/>
      <c r="N5" s="396"/>
      <c r="O5" s="296"/>
      <c r="P5" s="296"/>
      <c r="Q5" s="296"/>
      <c r="R5" s="296"/>
      <c r="S5" s="296"/>
      <c r="T5" s="296"/>
      <c r="U5" s="296"/>
      <c r="V5" s="396"/>
      <c r="W5" s="296"/>
      <c r="X5" s="296"/>
      <c r="Y5" s="296"/>
      <c r="Z5" s="396"/>
      <c r="AA5" s="296"/>
      <c r="AB5" s="296"/>
    </row>
    <row r="6" spans="1:32" ht="30">
      <c r="A6" s="295"/>
      <c r="B6" s="296"/>
      <c r="C6" s="296"/>
      <c r="D6" s="296"/>
      <c r="E6" s="297"/>
      <c r="F6" s="296"/>
      <c r="G6" s="296"/>
      <c r="H6" s="296"/>
      <c r="I6" s="296"/>
      <c r="J6" s="396"/>
      <c r="K6" s="296"/>
      <c r="L6" s="296"/>
      <c r="M6" s="296"/>
      <c r="N6" s="396"/>
      <c r="O6" s="296"/>
      <c r="P6" s="296"/>
      <c r="Q6" s="296"/>
      <c r="R6" s="296"/>
      <c r="S6" s="296"/>
      <c r="T6" s="296"/>
      <c r="U6" s="296"/>
      <c r="V6" s="396"/>
      <c r="W6" s="296"/>
      <c r="X6" s="296"/>
      <c r="Y6" s="296"/>
      <c r="Z6" s="396"/>
      <c r="AA6" s="296"/>
      <c r="AB6" s="296"/>
    </row>
    <row r="7" spans="1:32" ht="30">
      <c r="A7" s="295"/>
      <c r="B7" s="296"/>
      <c r="C7" s="296"/>
      <c r="D7" s="296"/>
      <c r="E7" s="297"/>
      <c r="F7" s="296"/>
      <c r="G7" s="296"/>
      <c r="H7" s="296"/>
      <c r="I7" s="296"/>
      <c r="J7" s="396"/>
      <c r="K7" s="296"/>
      <c r="L7" s="296"/>
      <c r="M7" s="296"/>
      <c r="N7" s="396"/>
      <c r="O7" s="296"/>
      <c r="P7" s="296"/>
      <c r="Q7" s="296"/>
      <c r="R7" s="296"/>
      <c r="S7" s="296"/>
      <c r="T7" s="296"/>
      <c r="U7" s="296"/>
      <c r="V7" s="396"/>
      <c r="W7" s="296"/>
      <c r="X7" s="296"/>
      <c r="Y7" s="296"/>
      <c r="Z7" s="396"/>
      <c r="AA7" s="296"/>
      <c r="AB7" s="296"/>
    </row>
    <row r="8" spans="1:32" ht="30">
      <c r="A8" s="295"/>
      <c r="B8" s="296"/>
      <c r="C8" s="296"/>
      <c r="D8" s="296"/>
      <c r="E8" s="297"/>
      <c r="F8" s="296"/>
      <c r="G8" s="296"/>
      <c r="H8" s="296"/>
      <c r="I8" s="296"/>
      <c r="J8" s="396"/>
      <c r="K8" s="296"/>
      <c r="L8" s="296"/>
      <c r="M8" s="296"/>
      <c r="N8" s="396"/>
      <c r="O8" s="296"/>
      <c r="P8" s="296"/>
      <c r="Q8" s="296"/>
      <c r="R8" s="296"/>
      <c r="S8" s="296"/>
      <c r="T8" s="296"/>
      <c r="U8" s="296"/>
      <c r="V8" s="396"/>
      <c r="W8" s="296"/>
      <c r="X8" s="296"/>
      <c r="Y8" s="296"/>
      <c r="Z8" s="396"/>
      <c r="AA8" s="296"/>
      <c r="AB8" s="296"/>
    </row>
    <row r="9" spans="1:32" ht="31" thickBot="1">
      <c r="A9" s="295"/>
      <c r="B9" s="296"/>
      <c r="C9" s="296"/>
      <c r="D9" s="296"/>
      <c r="E9" s="297"/>
      <c r="F9" s="296"/>
      <c r="G9" s="296"/>
      <c r="H9" s="296"/>
      <c r="I9" s="296"/>
      <c r="J9" s="396"/>
      <c r="K9" s="296"/>
      <c r="L9" s="296"/>
      <c r="M9" s="296"/>
      <c r="N9" s="396"/>
      <c r="O9" s="296"/>
      <c r="P9" s="296"/>
      <c r="Q9" s="296"/>
      <c r="R9" s="296"/>
      <c r="S9" s="296"/>
      <c r="T9" s="296"/>
      <c r="U9" s="296"/>
      <c r="V9" s="396"/>
      <c r="W9" s="296"/>
      <c r="X9" s="296"/>
      <c r="Y9" s="296"/>
      <c r="Z9" s="396"/>
      <c r="AA9" s="296"/>
      <c r="AB9" s="296"/>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2056086.4569710356</v>
      </c>
      <c r="AF11" s="18">
        <f>X13*O13</f>
        <v>102179700.93542401</v>
      </c>
    </row>
    <row r="12" spans="1:32" ht="15" customHeight="1" thickBot="1">
      <c r="A12" s="268"/>
      <c r="B12" s="268" t="s">
        <v>48</v>
      </c>
      <c r="C12" s="269">
        <f>SUM(C15:C18)</f>
        <v>-4930931.0517927641</v>
      </c>
      <c r="D12" s="269"/>
      <c r="E12" s="269">
        <f>SUM(E15:E18)</f>
        <v>-8.168482039552255E-2</v>
      </c>
      <c r="F12" s="270"/>
      <c r="G12" s="270"/>
      <c r="H12" s="270"/>
      <c r="I12" s="270"/>
      <c r="J12" s="270"/>
      <c r="K12" s="501"/>
      <c r="L12" s="270"/>
      <c r="M12" s="270"/>
      <c r="N12" s="270"/>
      <c r="O12" s="276">
        <f>SUM(O15:O18)</f>
        <v>95811647.465520978</v>
      </c>
      <c r="P12" s="268"/>
      <c r="Q12" s="269">
        <f>SUM(Q15:Q18)</f>
        <v>1.5871966435577589</v>
      </c>
      <c r="R12" s="270"/>
      <c r="S12" s="270"/>
      <c r="T12" s="270"/>
      <c r="U12" s="270"/>
      <c r="V12" s="270"/>
      <c r="W12" s="501"/>
      <c r="X12" s="270"/>
      <c r="Y12" s="270"/>
      <c r="Z12" s="270"/>
      <c r="AA12" s="235"/>
      <c r="AB12" s="236"/>
      <c r="AD12" s="16" t="s">
        <v>887</v>
      </c>
      <c r="AE12" s="18">
        <f>K13*C13</f>
        <v>426838.04836041294</v>
      </c>
      <c r="AF12" s="18">
        <f>W13*O13</f>
        <v>821921.20736632054</v>
      </c>
    </row>
    <row r="13" spans="1:32" ht="15" customHeight="1" thickTop="1" thickBot="1">
      <c r="A13" s="271"/>
      <c r="B13" s="271" t="s">
        <v>870</v>
      </c>
      <c r="C13" s="272">
        <f>C15</f>
        <v>2778556.1422072342</v>
      </c>
      <c r="D13" s="272"/>
      <c r="E13" s="272">
        <f>E15</f>
        <v>4.6029006905816461E-2</v>
      </c>
      <c r="F13" s="282">
        <f>SUMPRODUCT(F15,$C$15)/SUM($C$15)</f>
        <v>1</v>
      </c>
      <c r="G13" s="282">
        <f t="shared" ref="G13:M13" si="0">SUMPRODUCT(G15,$C$15)/SUM($C$15)</f>
        <v>0</v>
      </c>
      <c r="H13" s="282">
        <f t="shared" si="0"/>
        <v>0</v>
      </c>
      <c r="I13" s="282">
        <f t="shared" si="0"/>
        <v>0</v>
      </c>
      <c r="J13" s="430">
        <f>SUM(F13:I13)</f>
        <v>1</v>
      </c>
      <c r="K13" s="393">
        <f t="shared" si="0"/>
        <v>0.15361865174383002</v>
      </c>
      <c r="L13" s="282">
        <f>SUMPRODUCT(L15,$C$15)/SUM($C$15)</f>
        <v>0.7399837727726164</v>
      </c>
      <c r="M13" s="282">
        <f t="shared" si="0"/>
        <v>0.10639757548355361</v>
      </c>
      <c r="N13" s="430">
        <f>SUM(K13:M13)</f>
        <v>1</v>
      </c>
      <c r="O13" s="277">
        <f>O15</f>
        <v>103521134.65952097</v>
      </c>
      <c r="P13" s="271"/>
      <c r="Q13" s="272">
        <f>Q15</f>
        <v>1.7149104708590979</v>
      </c>
      <c r="R13" s="282">
        <f>SUMPRODUCT(R15,$O$15)/SUM($O$15)</f>
        <v>1</v>
      </c>
      <c r="S13" s="282">
        <f t="shared" ref="S13:Y13" si="1">SUMPRODUCT(S15,$O$15)/SUM($O$15)</f>
        <v>0</v>
      </c>
      <c r="T13" s="282">
        <f t="shared" si="1"/>
        <v>0</v>
      </c>
      <c r="U13" s="282">
        <f t="shared" si="1"/>
        <v>0</v>
      </c>
      <c r="V13" s="430">
        <f>SUM(R13:U13)</f>
        <v>1</v>
      </c>
      <c r="W13" s="393">
        <f t="shared" si="1"/>
        <v>7.939646431326353E-3</v>
      </c>
      <c r="X13" s="282">
        <f>SUMPRODUCT(X15,$O$15)/SUM($O$15)</f>
        <v>0.98704193372195059</v>
      </c>
      <c r="Y13" s="282">
        <f t="shared" si="1"/>
        <v>5.0184198467231262E-3</v>
      </c>
      <c r="Z13" s="430">
        <f>SUM(W13:Y13)</f>
        <v>1</v>
      </c>
      <c r="AA13" s="702"/>
      <c r="AB13" s="703"/>
      <c r="AD13" s="16" t="s">
        <v>888</v>
      </c>
      <c r="AE13" s="18">
        <f>M13*C13</f>
        <v>295631.63687578571</v>
      </c>
      <c r="AF13" s="18">
        <f>Y13*O13</f>
        <v>519512.51673063735</v>
      </c>
    </row>
    <row r="14" spans="1:32" ht="15" customHeight="1" thickTop="1" thickBot="1">
      <c r="A14" s="222" t="s">
        <v>68</v>
      </c>
      <c r="B14" s="232"/>
      <c r="C14" s="232"/>
      <c r="D14" s="232"/>
      <c r="E14" s="232"/>
      <c r="F14" s="232"/>
      <c r="G14" s="232"/>
      <c r="H14" s="232"/>
      <c r="I14" s="232"/>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32"/>
      <c r="B15" s="232" t="s">
        <v>487</v>
      </c>
      <c r="C15" s="243">
        <f>SUM('Sankey conversion input'!$E$119:$E$130)</f>
        <v>2778556.1422072342</v>
      </c>
      <c r="D15" s="243">
        <f>C15/AA15</f>
        <v>6.8789763869262083E-2</v>
      </c>
      <c r="E15" s="243">
        <f>C15/AB15</f>
        <v>4.6029006905816461E-2</v>
      </c>
      <c r="F15" s="443">
        <f>SUM('Sankey conversion input'!$E$119,'Sankey conversion input'!$E$123,'Sankey conversion input'!$E$127)/$C$15</f>
        <v>1</v>
      </c>
      <c r="G15" s="300">
        <f>SUM('Sankey conversion input'!$E$120,'Sankey conversion input'!$E$124,'Sankey conversion input'!$E$128)/$C$15</f>
        <v>0</v>
      </c>
      <c r="H15" s="445">
        <f>SUM('Sankey conversion input'!$E$121,'Sankey conversion input'!$E$125,'Sankey conversion input'!$E$129)/$C$15</f>
        <v>0</v>
      </c>
      <c r="I15" s="300">
        <f>SUM('Sankey conversion input'!$E$122,'Sankey conversion input'!$E$126,'Sankey conversion input'!$E$130)/$C$15</f>
        <v>0</v>
      </c>
      <c r="J15" s="430">
        <f>SUM(F15:I15)</f>
        <v>1</v>
      </c>
      <c r="K15" s="299">
        <f>SUM('Sankey conversion input'!$E$123:$E$126)/$C$15</f>
        <v>0.15361865174383002</v>
      </c>
      <c r="L15" s="300">
        <f>SUM('Sankey conversion input'!$E$119:$E$122)/$C$15</f>
        <v>0.7399837727726164</v>
      </c>
      <c r="M15" s="300">
        <f>SUM('Sankey conversion input'!$E$127:$E$130)/$C$15</f>
        <v>0.10639757548355361</v>
      </c>
      <c r="N15" s="430">
        <f>SUM(K15:M15)</f>
        <v>1</v>
      </c>
      <c r="O15" s="699">
        <f>SUM('Sankey conversion input'!$D$119:$D$130)</f>
        <v>103521134.65952097</v>
      </c>
      <c r="P15" s="384">
        <f>O15/AA15</f>
        <v>2.5629118305486474</v>
      </c>
      <c r="Q15" s="385">
        <f>O15/AB15</f>
        <v>1.7149104708590979</v>
      </c>
      <c r="R15" s="299">
        <f>SUM('Sankey conversion input'!$D$119,'Sankey conversion input'!$D$123,'Sankey conversion input'!$D$127)/$O$15</f>
        <v>1</v>
      </c>
      <c r="S15" s="300">
        <f>SUM('Sankey conversion input'!$D$120,'Sankey conversion input'!$D$124,'Sankey conversion input'!$D$128)/$O$15</f>
        <v>0</v>
      </c>
      <c r="T15" s="300">
        <f>SUM('Sankey conversion input'!$D$121,'Sankey conversion input'!$D$125,'Sankey conversion input'!$D$129)/$O$15</f>
        <v>0</v>
      </c>
      <c r="U15" s="300">
        <f>SUM('Sankey conversion input'!$D$122,'Sankey conversion input'!$D$126,'Sankey conversion input'!$D$130)/$O$15</f>
        <v>0</v>
      </c>
      <c r="V15" s="430">
        <f>SUM(R15:U15)</f>
        <v>1</v>
      </c>
      <c r="W15" s="299">
        <f>SUM('Sankey conversion input'!$D$123:$D$126)/$O$15</f>
        <v>7.939646431326353E-3</v>
      </c>
      <c r="X15" s="300">
        <f>SUM('Sankey conversion input'!$D$119:$D$122)/$O$15</f>
        <v>0.98704193372195059</v>
      </c>
      <c r="Y15" s="300">
        <f>SUM('Sankey conversion input'!$D$127:$D$130)/$O$15</f>
        <v>5.0184198467231262E-3</v>
      </c>
      <c r="Z15" s="430">
        <f>SUM(W15:Y15)</f>
        <v>1</v>
      </c>
      <c r="AA15" s="706">
        <f>'Energy data by fuel cycle'!$E$18</f>
        <v>40392000</v>
      </c>
      <c r="AB15" s="707">
        <f>'Energy data by fuel cycle'!$G$18</f>
        <v>60365328.930355906</v>
      </c>
      <c r="AD15" s="16" t="s">
        <v>267</v>
      </c>
      <c r="AE15" s="18">
        <f>F13*C13</f>
        <v>2778556.1422072342</v>
      </c>
      <c r="AF15" s="18">
        <f>R13*O13</f>
        <v>103521134.65952097</v>
      </c>
    </row>
    <row r="16" spans="1:32" ht="15" customHeight="1" thickTop="1">
      <c r="A16" s="232"/>
      <c r="B16" s="244"/>
      <c r="C16" s="306"/>
      <c r="D16" s="306"/>
      <c r="E16" s="306"/>
      <c r="F16" s="445"/>
      <c r="G16" s="300"/>
      <c r="H16" s="445"/>
      <c r="I16" s="300"/>
      <c r="J16" s="516"/>
      <c r="K16" s="301"/>
      <c r="L16" s="300"/>
      <c r="M16" s="300"/>
      <c r="N16" s="516"/>
      <c r="O16" s="693"/>
      <c r="P16" s="306"/>
      <c r="Q16" s="306"/>
      <c r="R16" s="300"/>
      <c r="S16" s="300"/>
      <c r="T16" s="300"/>
      <c r="U16" s="300"/>
      <c r="V16" s="516"/>
      <c r="W16" s="301"/>
      <c r="X16" s="300"/>
      <c r="Y16" s="300"/>
      <c r="Z16" s="516"/>
      <c r="AA16" s="706"/>
      <c r="AB16" s="707"/>
      <c r="AD16" s="16" t="s">
        <v>654</v>
      </c>
      <c r="AE16" s="18">
        <f>G13*C13</f>
        <v>0</v>
      </c>
      <c r="AF16" s="18">
        <f>S13*O13</f>
        <v>0</v>
      </c>
    </row>
    <row r="17" spans="1:32" ht="15" customHeight="1" thickBot="1">
      <c r="A17" s="257" t="s">
        <v>413</v>
      </c>
      <c r="B17" s="232"/>
      <c r="C17" s="232"/>
      <c r="D17" s="232"/>
      <c r="E17" s="232"/>
      <c r="F17" s="232"/>
      <c r="G17" s="232"/>
      <c r="H17" s="232"/>
      <c r="I17" s="232"/>
      <c r="J17" s="431"/>
      <c r="K17" s="301"/>
      <c r="L17" s="244"/>
      <c r="M17" s="232"/>
      <c r="N17" s="431"/>
      <c r="O17" s="680"/>
      <c r="P17" s="232"/>
      <c r="Q17" s="232"/>
      <c r="R17" s="232"/>
      <c r="S17" s="232"/>
      <c r="T17" s="232"/>
      <c r="U17" s="232"/>
      <c r="V17" s="431"/>
      <c r="W17" s="301"/>
      <c r="X17" s="244"/>
      <c r="Y17" s="232"/>
      <c r="Z17" s="431"/>
      <c r="AA17" s="301"/>
      <c r="AB17" s="708"/>
      <c r="AD17" s="16" t="s">
        <v>889</v>
      </c>
      <c r="AE17" s="18">
        <f>H13*C13</f>
        <v>0</v>
      </c>
      <c r="AF17" s="18">
        <f>T13*O13</f>
        <v>0</v>
      </c>
    </row>
    <row r="18" spans="1:32" ht="15" customHeight="1" thickTop="1" thickBot="1">
      <c r="A18" s="232"/>
      <c r="B18" s="232" t="s">
        <v>566</v>
      </c>
      <c r="C18" s="243">
        <f>AA18*D18</f>
        <v>-7709487.1939999983</v>
      </c>
      <c r="D18" s="243">
        <v>-0.04</v>
      </c>
      <c r="E18" s="243">
        <f>C18/AB18</f>
        <v>-0.12771382730133901</v>
      </c>
      <c r="F18" s="240">
        <v>1</v>
      </c>
      <c r="G18" s="240"/>
      <c r="H18" s="240"/>
      <c r="I18" s="240"/>
      <c r="J18" s="430">
        <f>SUM(F18:I18)</f>
        <v>1</v>
      </c>
      <c r="K18" s="299"/>
      <c r="L18" s="300">
        <v>1</v>
      </c>
      <c r="M18" s="240"/>
      <c r="N18" s="430">
        <f>SUM(K18:M18)</f>
        <v>1</v>
      </c>
      <c r="O18" s="699">
        <f>AA18*P18</f>
        <v>-7709487.1939999983</v>
      </c>
      <c r="P18" s="384">
        <f>D18</f>
        <v>-0.04</v>
      </c>
      <c r="Q18" s="385">
        <f>O18/AB18</f>
        <v>-0.12771382730133901</v>
      </c>
      <c r="R18" s="240">
        <v>1</v>
      </c>
      <c r="S18" s="240"/>
      <c r="T18" s="240"/>
      <c r="U18" s="240"/>
      <c r="V18" s="430">
        <f>SUM(R18:U18)</f>
        <v>1</v>
      </c>
      <c r="W18" s="299"/>
      <c r="X18" s="300">
        <v>1</v>
      </c>
      <c r="Y18" s="240"/>
      <c r="Z18" s="430">
        <f>SUM(W18:Y18)</f>
        <v>1</v>
      </c>
      <c r="AA18" s="709">
        <v>192737179.84999996</v>
      </c>
      <c r="AB18" s="710">
        <f>'Energy data by fuel cycle'!$G$18</f>
        <v>60365328.930355906</v>
      </c>
      <c r="AD18" s="16" t="s">
        <v>890</v>
      </c>
      <c r="AE18" s="18">
        <f>I13*C13</f>
        <v>0</v>
      </c>
      <c r="AF18" s="18">
        <f>U13*O13</f>
        <v>0</v>
      </c>
    </row>
    <row r="19" spans="1:32" ht="15" customHeight="1" thickTop="1">
      <c r="I19" s="17"/>
      <c r="J19" s="514"/>
      <c r="K19" s="17"/>
      <c r="L19" s="17"/>
      <c r="M19" s="17"/>
      <c r="N19" s="514"/>
      <c r="O19" s="17"/>
      <c r="P19" s="17"/>
      <c r="Q19" s="17"/>
      <c r="R19" s="17"/>
      <c r="S19" s="17"/>
      <c r="T19" s="17"/>
      <c r="U19" s="17"/>
      <c r="V19" s="514"/>
      <c r="W19" s="17"/>
      <c r="X19" s="17"/>
      <c r="Z19" s="433"/>
    </row>
    <row r="20" spans="1:32" ht="15" customHeight="1">
      <c r="I20" s="17"/>
      <c r="J20" s="514"/>
      <c r="K20" s="17"/>
      <c r="L20" s="17"/>
      <c r="M20" s="17"/>
      <c r="N20" s="514"/>
      <c r="O20" s="17"/>
      <c r="P20" s="17"/>
      <c r="Q20" s="17"/>
      <c r="R20" s="17"/>
      <c r="S20" s="17"/>
      <c r="T20" s="17"/>
      <c r="U20" s="17"/>
      <c r="V20" s="514"/>
      <c r="W20" s="17"/>
      <c r="X20" s="17"/>
      <c r="Z20" s="433"/>
      <c r="AD20" s="16" t="s">
        <v>614</v>
      </c>
      <c r="AE20" s="419"/>
    </row>
    <row r="21" spans="1:32" ht="15" customHeight="1">
      <c r="I21" s="17"/>
      <c r="J21" s="514"/>
      <c r="K21" s="17"/>
      <c r="L21" s="17"/>
      <c r="M21" s="17"/>
      <c r="N21" s="514"/>
      <c r="O21" s="17"/>
      <c r="P21" s="17"/>
      <c r="Q21" s="17"/>
      <c r="R21" s="17"/>
      <c r="S21" s="17"/>
      <c r="T21" s="17"/>
      <c r="U21" s="17"/>
      <c r="V21" s="514"/>
      <c r="W21" s="17"/>
      <c r="X21" s="17"/>
      <c r="Z21" s="433"/>
      <c r="AD21" s="16" t="s">
        <v>82</v>
      </c>
    </row>
    <row r="22" spans="1:32" ht="15" customHeight="1">
      <c r="I22" s="17"/>
      <c r="J22" s="514"/>
      <c r="K22" s="17"/>
      <c r="L22" s="17"/>
      <c r="M22" s="17"/>
      <c r="N22" s="514"/>
      <c r="O22" s="17"/>
      <c r="P22" s="17"/>
      <c r="Q22" s="17"/>
      <c r="R22" s="17"/>
      <c r="S22" s="17"/>
      <c r="T22" s="17"/>
      <c r="U22" s="17"/>
      <c r="V22" s="514"/>
      <c r="W22" s="17"/>
      <c r="X22" s="17"/>
      <c r="Z22" s="433"/>
      <c r="AD22" s="16" t="s">
        <v>891</v>
      </c>
    </row>
    <row r="23" spans="1:32" ht="15" customHeight="1">
      <c r="I23" s="17"/>
      <c r="J23" s="514"/>
      <c r="K23" s="17"/>
      <c r="L23" s="17"/>
      <c r="M23" s="17"/>
      <c r="N23" s="514"/>
      <c r="O23" s="17"/>
      <c r="P23" s="17"/>
      <c r="Q23" s="17"/>
      <c r="R23" s="17"/>
      <c r="S23" s="17"/>
      <c r="T23" s="17"/>
      <c r="U23" s="17"/>
      <c r="V23" s="514"/>
      <c r="W23" s="17"/>
      <c r="X23" s="17"/>
      <c r="Z23" s="433"/>
      <c r="AD23" s="16" t="s">
        <v>892</v>
      </c>
      <c r="AE23" s="419">
        <f>C15</f>
        <v>2778556.1422072342</v>
      </c>
      <c r="AF23" s="419">
        <f>O15</f>
        <v>103521134.65952097</v>
      </c>
    </row>
    <row r="24" spans="1:32" ht="15" customHeight="1">
      <c r="I24" s="17"/>
      <c r="J24" s="514"/>
      <c r="K24" s="17"/>
      <c r="L24" s="17"/>
      <c r="M24" s="17"/>
      <c r="N24" s="514"/>
      <c r="O24" s="17"/>
      <c r="P24" s="17"/>
      <c r="Q24" s="17"/>
      <c r="R24" s="17"/>
      <c r="S24" s="17"/>
      <c r="T24" s="17"/>
      <c r="U24" s="17"/>
      <c r="V24" s="514"/>
      <c r="W24" s="17"/>
      <c r="X24" s="17"/>
      <c r="Z24" s="433"/>
      <c r="AD24" s="16" t="s">
        <v>893</v>
      </c>
    </row>
    <row r="25" spans="1:32" ht="15" customHeight="1">
      <c r="I25" s="17"/>
      <c r="J25" s="514"/>
      <c r="K25" s="17"/>
      <c r="L25" s="17"/>
      <c r="M25" s="17"/>
      <c r="N25" s="514"/>
      <c r="O25" s="17"/>
      <c r="P25" s="17"/>
      <c r="Q25" s="17"/>
      <c r="R25" s="17"/>
      <c r="S25" s="17"/>
      <c r="T25" s="17"/>
      <c r="U25" s="17"/>
      <c r="V25" s="514"/>
      <c r="W25" s="17"/>
      <c r="X25" s="17"/>
      <c r="Z25" s="433"/>
    </row>
    <row r="26" spans="1:32" ht="15" customHeight="1">
      <c r="I26" s="17"/>
      <c r="J26" s="514"/>
      <c r="K26" s="17"/>
      <c r="L26" s="17"/>
      <c r="M26" s="17"/>
      <c r="N26" s="514"/>
      <c r="O26" s="17"/>
      <c r="P26" s="17"/>
      <c r="Q26" s="17"/>
      <c r="R26" s="17"/>
      <c r="S26" s="17"/>
      <c r="T26" s="17"/>
      <c r="U26" s="17"/>
      <c r="V26" s="514"/>
      <c r="W26" s="17"/>
      <c r="X26" s="17"/>
      <c r="Z26" s="433"/>
    </row>
    <row r="27" spans="1:32" ht="15" customHeight="1">
      <c r="I27" s="17"/>
      <c r="J27" s="514"/>
      <c r="K27" s="17"/>
      <c r="L27" s="17"/>
      <c r="M27" s="17"/>
      <c r="N27" s="514"/>
      <c r="O27" s="17"/>
      <c r="P27" s="17"/>
      <c r="Q27" s="17"/>
      <c r="R27" s="17"/>
      <c r="S27" s="17"/>
      <c r="T27" s="17"/>
      <c r="U27" s="17"/>
      <c r="V27" s="514"/>
      <c r="W27" s="17"/>
      <c r="X27" s="17"/>
      <c r="Z27" s="433"/>
    </row>
    <row r="28" spans="1:32" ht="15" customHeight="1">
      <c r="I28" s="17"/>
      <c r="J28" s="514"/>
      <c r="K28" s="17"/>
      <c r="L28" s="17"/>
      <c r="M28" s="17"/>
      <c r="N28" s="514"/>
      <c r="O28" s="17"/>
      <c r="P28" s="17"/>
      <c r="Q28" s="17"/>
      <c r="R28" s="17"/>
      <c r="S28" s="17"/>
      <c r="T28" s="17"/>
      <c r="U28" s="17"/>
      <c r="V28" s="514"/>
      <c r="W28" s="17"/>
      <c r="X28" s="17"/>
      <c r="Z28" s="433"/>
    </row>
    <row r="29" spans="1:32" ht="15" customHeight="1">
      <c r="I29" s="17"/>
      <c r="J29" s="514"/>
      <c r="K29" s="17"/>
      <c r="L29" s="17"/>
      <c r="M29" s="17"/>
      <c r="N29" s="514"/>
      <c r="O29" s="17"/>
      <c r="P29" s="17"/>
      <c r="Q29" s="17"/>
      <c r="R29" s="17"/>
      <c r="S29" s="17"/>
      <c r="T29" s="17"/>
      <c r="U29" s="17"/>
      <c r="V29" s="514"/>
      <c r="W29" s="17"/>
      <c r="X29" s="17"/>
      <c r="Z29" s="433"/>
    </row>
    <row r="30" spans="1:32" ht="15" customHeight="1">
      <c r="I30" s="17"/>
      <c r="J30" s="514"/>
      <c r="K30" s="17"/>
      <c r="L30" s="17"/>
      <c r="M30" s="17"/>
      <c r="N30" s="514"/>
      <c r="O30" s="17"/>
      <c r="P30" s="17"/>
      <c r="Q30" s="17"/>
      <c r="R30" s="17"/>
      <c r="S30" s="17"/>
      <c r="T30" s="17"/>
      <c r="U30" s="17"/>
      <c r="V30" s="514"/>
      <c r="W30" s="17"/>
      <c r="X30" s="17"/>
      <c r="Z30" s="433"/>
    </row>
    <row r="31" spans="1:32" ht="15" customHeight="1">
      <c r="I31" s="17"/>
      <c r="J31" s="514"/>
      <c r="K31" s="17"/>
      <c r="L31" s="17"/>
      <c r="M31" s="17"/>
      <c r="N31" s="514"/>
      <c r="O31" s="17"/>
      <c r="P31" s="17"/>
      <c r="Q31" s="17"/>
      <c r="R31" s="17"/>
      <c r="S31" s="17"/>
      <c r="T31" s="17"/>
      <c r="U31" s="17"/>
      <c r="V31" s="514"/>
      <c r="W31" s="17"/>
      <c r="X31" s="17"/>
      <c r="Z31" s="433"/>
    </row>
    <row r="32" spans="1:32" ht="15" customHeight="1">
      <c r="I32" s="17"/>
      <c r="J32" s="514"/>
      <c r="K32" s="17"/>
      <c r="L32" s="17"/>
      <c r="M32" s="17"/>
      <c r="N32" s="514"/>
      <c r="O32" s="17"/>
      <c r="P32" s="17"/>
      <c r="Q32" s="17"/>
      <c r="R32" s="17"/>
      <c r="S32" s="17"/>
      <c r="T32" s="17"/>
      <c r="U32" s="17"/>
      <c r="V32" s="514"/>
      <c r="W32" s="17"/>
      <c r="X32" s="17"/>
      <c r="Z32" s="433"/>
    </row>
    <row r="33" spans="2:26" ht="15" customHeight="1">
      <c r="J33" s="433"/>
      <c r="N33" s="433"/>
      <c r="V33" s="433"/>
      <c r="Z33" s="433"/>
    </row>
    <row r="34" spans="2:26" ht="15" customHeight="1">
      <c r="J34" s="433"/>
      <c r="N34" s="433"/>
      <c r="V34" s="433"/>
      <c r="Z34" s="433"/>
    </row>
    <row r="35" spans="2:26" ht="15" customHeight="1">
      <c r="J35" s="433"/>
      <c r="N35" s="433"/>
    </row>
    <row r="36" spans="2:26" ht="15" customHeight="1">
      <c r="J36" s="433"/>
      <c r="N36" s="433"/>
      <c r="V36" s="433"/>
      <c r="Z36" s="433"/>
    </row>
    <row r="37" spans="2:26" ht="15" customHeight="1">
      <c r="J37" s="433"/>
      <c r="N37" s="433"/>
      <c r="V37" s="433"/>
      <c r="Z37" s="429"/>
    </row>
    <row r="38" spans="2:26" ht="15" customHeight="1">
      <c r="J38" s="433"/>
      <c r="N38" s="433"/>
      <c r="V38" s="433"/>
      <c r="Z38" s="433"/>
    </row>
    <row r="39" spans="2:26" ht="15" customHeight="1">
      <c r="J39" s="433"/>
      <c r="N39" s="433"/>
      <c r="V39" s="433"/>
      <c r="Z39" s="433"/>
    </row>
    <row r="40" spans="2:26" ht="15" customHeight="1">
      <c r="B40" s="14"/>
      <c r="J40" s="433"/>
      <c r="N40" s="433"/>
      <c r="V40" s="433"/>
      <c r="Z40" s="433"/>
    </row>
    <row r="41" spans="2:26" ht="15" customHeight="1"/>
    <row r="42" spans="2:26" ht="15" customHeight="1"/>
    <row r="43" spans="2:26" ht="15" customHeight="1"/>
    <row r="44" spans="2:26" ht="15" customHeight="1"/>
    <row r="45" spans="2:26" ht="15" customHeight="1"/>
    <row r="46" spans="2:26" ht="15" customHeight="1"/>
    <row r="47" spans="2:26" ht="15" customHeight="1"/>
    <row r="48" spans="2: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8B28B3"/>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1" width="10.83203125" style="16" customWidth="1"/>
    <col min="12"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9" width="10.83203125" style="16"/>
    <col min="30" max="30" width="0" style="16" hidden="1" customWidth="1"/>
    <col min="31" max="32" width="11.1640625" style="16" hidden="1" customWidth="1"/>
    <col min="33" max="16384" width="10.83203125" style="16"/>
  </cols>
  <sheetData>
    <row r="1" spans="1:32" ht="30">
      <c r="A1" s="292" t="s">
        <v>567</v>
      </c>
      <c r="B1" s="293"/>
      <c r="C1" s="412"/>
      <c r="D1" s="412"/>
      <c r="E1" s="294"/>
      <c r="F1" s="293"/>
      <c r="G1" s="293"/>
      <c r="H1" s="293"/>
      <c r="I1" s="293"/>
      <c r="J1" s="395"/>
      <c r="K1" s="293"/>
      <c r="L1" s="293"/>
      <c r="M1" s="293"/>
      <c r="N1" s="395"/>
      <c r="O1" s="413"/>
      <c r="P1" s="413"/>
      <c r="Q1" s="413"/>
      <c r="R1" s="413"/>
      <c r="S1" s="293"/>
      <c r="T1" s="293"/>
      <c r="U1" s="293"/>
      <c r="V1" s="395"/>
      <c r="W1" s="293"/>
      <c r="X1" s="293"/>
      <c r="Y1" s="293"/>
      <c r="Z1" s="395"/>
      <c r="AA1" s="293"/>
      <c r="AB1" s="293"/>
    </row>
    <row r="2" spans="1:32" ht="30">
      <c r="A2" s="292"/>
      <c r="B2" s="293"/>
      <c r="C2" s="293"/>
      <c r="D2" s="293"/>
      <c r="E2" s="294"/>
      <c r="F2" s="293"/>
      <c r="G2" s="293"/>
      <c r="H2" s="293"/>
      <c r="I2" s="293"/>
      <c r="J2" s="395"/>
      <c r="K2" s="293"/>
      <c r="L2" s="293"/>
      <c r="M2" s="293"/>
      <c r="N2" s="395"/>
      <c r="O2" s="293"/>
      <c r="P2" s="293"/>
      <c r="Q2" s="293"/>
      <c r="R2" s="293"/>
      <c r="S2" s="293"/>
      <c r="T2" s="293"/>
      <c r="U2" s="293"/>
      <c r="V2" s="395"/>
      <c r="W2" s="293"/>
      <c r="X2" s="293"/>
      <c r="Y2" s="293"/>
      <c r="Z2" s="395"/>
      <c r="AA2" s="293"/>
      <c r="AB2" s="293"/>
    </row>
    <row r="3" spans="1:32" ht="30">
      <c r="A3" s="292"/>
      <c r="B3" s="293"/>
      <c r="C3" s="293"/>
      <c r="D3" s="293"/>
      <c r="E3" s="294"/>
      <c r="F3" s="293"/>
      <c r="G3" s="293"/>
      <c r="H3" s="293"/>
      <c r="I3" s="293"/>
      <c r="J3" s="395"/>
      <c r="K3" s="293"/>
      <c r="L3" s="293"/>
      <c r="M3" s="293"/>
      <c r="N3" s="395"/>
      <c r="O3" s="293"/>
      <c r="P3" s="293"/>
      <c r="Q3" s="293"/>
      <c r="R3" s="293"/>
      <c r="S3" s="293"/>
      <c r="T3" s="293"/>
      <c r="U3" s="293"/>
      <c r="V3" s="395"/>
      <c r="W3" s="293"/>
      <c r="X3" s="293"/>
      <c r="Y3" s="293"/>
      <c r="Z3" s="395"/>
      <c r="AA3" s="293"/>
      <c r="AB3" s="293"/>
    </row>
    <row r="4" spans="1:32" ht="30">
      <c r="A4" s="292"/>
      <c r="B4" s="293"/>
      <c r="C4" s="293"/>
      <c r="D4" s="293"/>
      <c r="E4" s="294"/>
      <c r="F4" s="293"/>
      <c r="G4" s="293"/>
      <c r="H4" s="293"/>
      <c r="I4" s="293"/>
      <c r="J4" s="395"/>
      <c r="K4" s="293"/>
      <c r="L4" s="293"/>
      <c r="M4" s="293"/>
      <c r="N4" s="395"/>
      <c r="O4" s="293"/>
      <c r="P4" s="293"/>
      <c r="Q4" s="293"/>
      <c r="R4" s="293"/>
      <c r="S4" s="293"/>
      <c r="T4" s="293"/>
      <c r="U4" s="293"/>
      <c r="V4" s="395"/>
      <c r="W4" s="293"/>
      <c r="X4" s="293"/>
      <c r="Y4" s="293"/>
      <c r="Z4" s="395"/>
      <c r="AA4" s="293"/>
      <c r="AB4" s="293"/>
    </row>
    <row r="5" spans="1:32" ht="30">
      <c r="A5" s="292"/>
      <c r="B5" s="293"/>
      <c r="C5" s="293"/>
      <c r="D5" s="293"/>
      <c r="E5" s="294"/>
      <c r="F5" s="293"/>
      <c r="G5" s="293"/>
      <c r="H5" s="293"/>
      <c r="I5" s="293"/>
      <c r="J5" s="395"/>
      <c r="K5" s="293"/>
      <c r="L5" s="293"/>
      <c r="M5" s="293"/>
      <c r="N5" s="395"/>
      <c r="O5" s="293"/>
      <c r="P5" s="293"/>
      <c r="Q5" s="293"/>
      <c r="R5" s="293"/>
      <c r="S5" s="293"/>
      <c r="T5" s="293"/>
      <c r="U5" s="293"/>
      <c r="V5" s="395"/>
      <c r="W5" s="293"/>
      <c r="X5" s="293"/>
      <c r="Y5" s="293"/>
      <c r="Z5" s="395"/>
      <c r="AA5" s="293"/>
      <c r="AB5" s="293"/>
    </row>
    <row r="6" spans="1:32" ht="30">
      <c r="A6" s="292"/>
      <c r="B6" s="293"/>
      <c r="C6" s="293"/>
      <c r="D6" s="293"/>
      <c r="E6" s="294"/>
      <c r="F6" s="293"/>
      <c r="G6" s="293"/>
      <c r="H6" s="293"/>
      <c r="I6" s="293"/>
      <c r="J6" s="395"/>
      <c r="K6" s="293"/>
      <c r="L6" s="293"/>
      <c r="M6" s="293"/>
      <c r="N6" s="395"/>
      <c r="O6" s="293"/>
      <c r="P6" s="293"/>
      <c r="Q6" s="293"/>
      <c r="R6" s="293"/>
      <c r="S6" s="293"/>
      <c r="T6" s="293"/>
      <c r="U6" s="293"/>
      <c r="V6" s="395"/>
      <c r="W6" s="293"/>
      <c r="X6" s="293"/>
      <c r="Y6" s="293"/>
      <c r="Z6" s="395"/>
      <c r="AA6" s="293"/>
      <c r="AB6" s="293"/>
    </row>
    <row r="7" spans="1:32" ht="30">
      <c r="A7" s="292"/>
      <c r="B7" s="293"/>
      <c r="C7" s="293"/>
      <c r="D7" s="293"/>
      <c r="E7" s="294"/>
      <c r="F7" s="293"/>
      <c r="G7" s="293"/>
      <c r="H7" s="293"/>
      <c r="I7" s="293"/>
      <c r="J7" s="395"/>
      <c r="K7" s="293"/>
      <c r="L7" s="293"/>
      <c r="M7" s="293"/>
      <c r="N7" s="395"/>
      <c r="O7" s="293"/>
      <c r="P7" s="293"/>
      <c r="Q7" s="293"/>
      <c r="R7" s="293"/>
      <c r="S7" s="293"/>
      <c r="T7" s="293"/>
      <c r="U7" s="293"/>
      <c r="V7" s="395"/>
      <c r="W7" s="293"/>
      <c r="X7" s="293"/>
      <c r="Y7" s="293"/>
      <c r="Z7" s="395"/>
      <c r="AA7" s="293"/>
      <c r="AB7" s="293"/>
    </row>
    <row r="8" spans="1:32" ht="30">
      <c r="A8" s="292"/>
      <c r="B8" s="293"/>
      <c r="C8" s="293"/>
      <c r="D8" s="293"/>
      <c r="E8" s="294"/>
      <c r="F8" s="293"/>
      <c r="G8" s="293"/>
      <c r="H8" s="293"/>
      <c r="I8" s="293"/>
      <c r="J8" s="395"/>
      <c r="K8" s="293"/>
      <c r="L8" s="293"/>
      <c r="M8" s="293"/>
      <c r="N8" s="395"/>
      <c r="O8" s="293"/>
      <c r="P8" s="293"/>
      <c r="Q8" s="293"/>
      <c r="R8" s="293"/>
      <c r="S8" s="293"/>
      <c r="T8" s="293"/>
      <c r="U8" s="293"/>
      <c r="V8" s="395"/>
      <c r="W8" s="293"/>
      <c r="X8" s="293"/>
      <c r="Y8" s="293"/>
      <c r="Z8" s="395"/>
      <c r="AA8" s="293"/>
      <c r="AB8" s="293"/>
    </row>
    <row r="9" spans="1:32" ht="31" thickBot="1">
      <c r="A9" s="292"/>
      <c r="B9" s="293"/>
      <c r="C9" s="293"/>
      <c r="D9" s="293"/>
      <c r="E9" s="294"/>
      <c r="F9" s="293"/>
      <c r="G9" s="293"/>
      <c r="H9" s="293"/>
      <c r="I9" s="293"/>
      <c r="J9" s="395"/>
      <c r="K9" s="293"/>
      <c r="L9" s="293"/>
      <c r="M9" s="293"/>
      <c r="N9" s="395"/>
      <c r="O9" s="293"/>
      <c r="P9" s="293"/>
      <c r="Q9" s="293"/>
      <c r="R9" s="293"/>
      <c r="S9" s="293"/>
      <c r="T9" s="293"/>
      <c r="U9" s="293"/>
      <c r="V9" s="395"/>
      <c r="W9" s="293"/>
      <c r="X9" s="293"/>
      <c r="Y9" s="293"/>
      <c r="Z9" s="395"/>
      <c r="AA9" s="293"/>
      <c r="AB9" s="293"/>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6271216.278250399</v>
      </c>
      <c r="AF11" s="18">
        <f>X13*O13</f>
        <v>6271216.278250399</v>
      </c>
    </row>
    <row r="12" spans="1:32" ht="15" customHeight="1" thickBot="1">
      <c r="A12" s="268"/>
      <c r="B12" s="268" t="s">
        <v>48</v>
      </c>
      <c r="C12" s="269">
        <f>SUM(C15:C27)</f>
        <v>168317795.07571748</v>
      </c>
      <c r="D12" s="269"/>
      <c r="E12" s="269">
        <f>SUM(E15:E27)</f>
        <v>3.1016813112549393</v>
      </c>
      <c r="F12" s="270"/>
      <c r="G12" s="270"/>
      <c r="H12" s="270"/>
      <c r="I12" s="270"/>
      <c r="J12" s="270"/>
      <c r="K12" s="501"/>
      <c r="L12" s="270"/>
      <c r="M12" s="270"/>
      <c r="N12" s="270"/>
      <c r="O12" s="276">
        <f>SUM(O15:O27)</f>
        <v>168505328.89169019</v>
      </c>
      <c r="P12" s="268"/>
      <c r="Q12" s="269">
        <f>SUM(Q15:Q27)</f>
        <v>3.1051370963783675</v>
      </c>
      <c r="R12" s="270"/>
      <c r="S12" s="270"/>
      <c r="T12" s="270"/>
      <c r="U12" s="270"/>
      <c r="V12" s="270"/>
      <c r="W12" s="501"/>
      <c r="X12" s="270"/>
      <c r="Y12" s="270"/>
      <c r="Z12" s="270"/>
      <c r="AA12" s="235"/>
      <c r="AB12" s="236"/>
      <c r="AD12" s="16" t="s">
        <v>887</v>
      </c>
      <c r="AE12" s="18">
        <f>K13*C13</f>
        <v>144357593.51696706</v>
      </c>
      <c r="AF12" s="18">
        <f>W13*O13</f>
        <v>144545127.33293977</v>
      </c>
    </row>
    <row r="13" spans="1:32" ht="15" customHeight="1" thickTop="1" thickBot="1">
      <c r="A13" s="271"/>
      <c r="B13" s="271" t="s">
        <v>870</v>
      </c>
      <c r="C13" s="272">
        <f>SUM(C15:C27)</f>
        <v>168317795.07571748</v>
      </c>
      <c r="D13" s="272"/>
      <c r="E13" s="272">
        <f>SUM(E15:E27)</f>
        <v>3.1016813112549393</v>
      </c>
      <c r="F13" s="282">
        <f>SUMPRODUCT(F15:F27,$C$15:$C$27)/SUM($C$15:$C$27)</f>
        <v>0.99917211782742466</v>
      </c>
      <c r="G13" s="282">
        <f t="shared" ref="G13:M13" si="0">SUMPRODUCT(G15:G27,$C$15:$C$27)/SUM($C$15:$C$27)</f>
        <v>8.2788217061467815E-4</v>
      </c>
      <c r="H13" s="282">
        <f t="shared" si="0"/>
        <v>0</v>
      </c>
      <c r="I13" s="282">
        <f t="shared" si="0"/>
        <v>0</v>
      </c>
      <c r="J13" s="430">
        <f>SUM(F13:I13)</f>
        <v>0.99999999999803935</v>
      </c>
      <c r="K13" s="393">
        <f t="shared" si="0"/>
        <v>0.85764902904073825</v>
      </c>
      <c r="L13" s="282">
        <f>SUMPRODUCT(L15:L27,$C$15:$C$27)/SUM($C$15:$C$27)</f>
        <v>3.7258189340166337E-2</v>
      </c>
      <c r="M13" s="282">
        <f t="shared" si="0"/>
        <v>0.10509278161909523</v>
      </c>
      <c r="N13" s="430">
        <f>SUM(K13:M13)</f>
        <v>0.99999999999999978</v>
      </c>
      <c r="O13" s="277">
        <f>SUM(O15:O27)</f>
        <v>168505328.89169019</v>
      </c>
      <c r="P13" s="271"/>
      <c r="Q13" s="272">
        <f>SUM(Q15:Q27)</f>
        <v>3.1051370963783675</v>
      </c>
      <c r="R13" s="282">
        <f>SUMPRODUCT(R15:R27,$O$15:$O$27)/SUM($O$15:$O$27)</f>
        <v>0.99917303919830369</v>
      </c>
      <c r="S13" s="282">
        <f t="shared" ref="S13:Y13" si="1">SUMPRODUCT(S15:S27,$O$15:$O$27)/SUM($O$15:$O$27)</f>
        <v>8.2696079973785001E-4</v>
      </c>
      <c r="T13" s="282">
        <f t="shared" si="1"/>
        <v>0</v>
      </c>
      <c r="U13" s="282">
        <f t="shared" si="1"/>
        <v>0</v>
      </c>
      <c r="V13" s="430">
        <f>SUM(R13:U13)</f>
        <v>0.99999999999804157</v>
      </c>
      <c r="W13" s="393">
        <f t="shared" si="1"/>
        <v>0.85780745501436773</v>
      </c>
      <c r="X13" s="282">
        <f>SUMPRODUCT(X15:X27,$O$15:$O$27)/SUM($O$15:$O$27)</f>
        <v>3.7216723764750104E-2</v>
      </c>
      <c r="Y13" s="282">
        <f t="shared" si="1"/>
        <v>0.10497582122088203</v>
      </c>
      <c r="Z13" s="430">
        <f>SUM(W13:Y13)</f>
        <v>0.99999999999999978</v>
      </c>
      <c r="AA13" s="702"/>
      <c r="AB13" s="703"/>
      <c r="AD13" s="16" t="s">
        <v>888</v>
      </c>
      <c r="AE13" s="18">
        <f>M13*C13</f>
        <v>17688985.280499998</v>
      </c>
      <c r="AF13" s="18">
        <f>Y13*O13</f>
        <v>17688985.280499998</v>
      </c>
    </row>
    <row r="14" spans="1:32" ht="15" customHeight="1" thickTop="1" thickBot="1">
      <c r="A14" s="224" t="s">
        <v>591</v>
      </c>
      <c r="B14" s="232"/>
      <c r="C14" s="232"/>
      <c r="D14" s="232"/>
      <c r="E14" s="232"/>
      <c r="F14" s="232"/>
      <c r="G14" s="232"/>
      <c r="H14" s="232"/>
      <c r="I14" s="232"/>
      <c r="J14" s="232"/>
      <c r="K14" s="301"/>
      <c r="L14" s="244"/>
      <c r="M14" s="232"/>
      <c r="N14" s="232"/>
      <c r="O14" s="684"/>
      <c r="P14" s="232"/>
      <c r="Q14" s="232"/>
      <c r="R14" s="232"/>
      <c r="S14" s="232"/>
      <c r="T14" s="232"/>
      <c r="U14" s="232"/>
      <c r="V14" s="232"/>
      <c r="W14" s="301"/>
      <c r="X14" s="244"/>
      <c r="Y14" s="232"/>
      <c r="Z14" s="232"/>
      <c r="AA14" s="704"/>
      <c r="AB14" s="705"/>
      <c r="AE14" s="18"/>
      <c r="AF14" s="18"/>
    </row>
    <row r="15" spans="1:32" ht="15" customHeight="1" thickTop="1" thickBot="1">
      <c r="A15" s="223"/>
      <c r="B15" s="232" t="s">
        <v>568</v>
      </c>
      <c r="C15" s="243">
        <v>540000</v>
      </c>
      <c r="D15" s="243">
        <f>C15/AA15</f>
        <v>9.4476286452100516E-3</v>
      </c>
      <c r="E15" s="243">
        <f>C15/AB15</f>
        <v>9.950866498246445E-3</v>
      </c>
      <c r="F15" s="240">
        <v>1</v>
      </c>
      <c r="G15" s="240"/>
      <c r="H15" s="240"/>
      <c r="I15" s="240"/>
      <c r="J15" s="430">
        <f t="shared" ref="J15:J26" si="2">SUM(F15:I15)</f>
        <v>1</v>
      </c>
      <c r="K15" s="299">
        <f>20/24</f>
        <v>0.83333333333333337</v>
      </c>
      <c r="L15" s="300">
        <f>2/24</f>
        <v>8.3333333333333329E-2</v>
      </c>
      <c r="M15" s="240">
        <f>2/24</f>
        <v>8.3333333333333329E-2</v>
      </c>
      <c r="N15" s="430">
        <f>SUM(K15:M15)</f>
        <v>1</v>
      </c>
      <c r="O15" s="677">
        <f>C15</f>
        <v>540000</v>
      </c>
      <c r="P15" s="243">
        <f>O15/AA15</f>
        <v>9.4476286452100516E-3</v>
      </c>
      <c r="Q15" s="243">
        <f>O15/AB15</f>
        <v>9.950866498246445E-3</v>
      </c>
      <c r="R15" s="240">
        <v>1</v>
      </c>
      <c r="S15" s="240"/>
      <c r="T15" s="240"/>
      <c r="U15" s="240"/>
      <c r="V15" s="430">
        <f>SUM(R15:U15)</f>
        <v>1</v>
      </c>
      <c r="W15" s="299">
        <f>20/24</f>
        <v>0.83333333333333337</v>
      </c>
      <c r="X15" s="300">
        <f>2/24</f>
        <v>8.3333333333333329E-2</v>
      </c>
      <c r="Y15" s="240">
        <f>2/24</f>
        <v>8.3333333333333329E-2</v>
      </c>
      <c r="Z15" s="430">
        <f>SUM(W15:Y15)</f>
        <v>1</v>
      </c>
      <c r="AA15" s="706">
        <f>'Energy data by fuel cycle'!$B$19</f>
        <v>57157200</v>
      </c>
      <c r="AB15" s="707">
        <f>'Energy data by fuel cycle'!$G$19</f>
        <v>54266630.960746937</v>
      </c>
      <c r="AD15" s="16" t="s">
        <v>267</v>
      </c>
      <c r="AE15" s="18">
        <f>F13*C13</f>
        <v>168178447.7738471</v>
      </c>
      <c r="AF15" s="18">
        <f>R13*O13</f>
        <v>168365981.58981982</v>
      </c>
    </row>
    <row r="16" spans="1:32" ht="15" customHeight="1" thickTop="1" thickBot="1">
      <c r="A16" s="223"/>
      <c r="B16" s="232" t="s">
        <v>569</v>
      </c>
      <c r="C16" s="243">
        <f>'Intermediate geothermal'!$J$5</f>
        <v>17643985.280499998</v>
      </c>
      <c r="D16" s="243">
        <f>C16/AA16</f>
        <v>0.72652121375772416</v>
      </c>
      <c r="E16" s="243">
        <f>C16/AB16</f>
        <v>0.32513507782089046</v>
      </c>
      <c r="F16" s="240">
        <v>1</v>
      </c>
      <c r="G16" s="240"/>
      <c r="H16" s="240"/>
      <c r="I16" s="240"/>
      <c r="J16" s="430">
        <f t="shared" si="2"/>
        <v>1</v>
      </c>
      <c r="K16" s="299"/>
      <c r="L16" s="300"/>
      <c r="M16" s="240">
        <v>1</v>
      </c>
      <c r="N16" s="430">
        <f>SUM(K16:M16)</f>
        <v>1</v>
      </c>
      <c r="O16" s="677">
        <f>'Intermediate geothermal'!$K$5</f>
        <v>17643985.280499998</v>
      </c>
      <c r="P16" s="243">
        <f>O16/AA16</f>
        <v>0.72652121375772416</v>
      </c>
      <c r="Q16" s="243">
        <f>O16/AB16</f>
        <v>0.32513507782089046</v>
      </c>
      <c r="R16" s="240">
        <v>1</v>
      </c>
      <c r="S16" s="240"/>
      <c r="T16" s="240"/>
      <c r="U16" s="240"/>
      <c r="V16" s="430">
        <f>SUM(R16:U16)</f>
        <v>1</v>
      </c>
      <c r="W16" s="299"/>
      <c r="X16" s="300"/>
      <c r="Y16" s="240">
        <v>1</v>
      </c>
      <c r="Z16" s="430">
        <f>SUM(W16:Y16)</f>
        <v>1</v>
      </c>
      <c r="AA16" s="706">
        <f>SUM('Intermediate geothermal'!$B$5,'Intermediate geothermal'!$B$7,'Intermediate geothermal'!$B$8,'Intermediate geothermal'!$B$9,'Intermediate geothermal'!$B$10,'Intermediate geothermal'!$B$12,'Intermediate geothermal'!$B$15,'Intermediate geothermal'!$B$30,'Intermediate geothermal'!$B$42)*GJ.per.GWh/1000</f>
        <v>24285574.800000001</v>
      </c>
      <c r="AB16" s="707">
        <f>'Energy data by fuel cycle'!$G$19</f>
        <v>54266630.960746937</v>
      </c>
      <c r="AD16" s="16" t="s">
        <v>654</v>
      </c>
      <c r="AE16" s="18">
        <f>G13*C13</f>
        <v>139347.30154036157</v>
      </c>
      <c r="AF16" s="18">
        <f>S13*O13</f>
        <v>139347.30154036157</v>
      </c>
    </row>
    <row r="17" spans="1:32" ht="15" customHeight="1" thickTop="1" thickBot="1">
      <c r="A17" s="244"/>
      <c r="B17" s="232" t="s">
        <v>570</v>
      </c>
      <c r="C17" s="243">
        <f>'Intermediate geothermal'!$J25</f>
        <v>2061144.46826361</v>
      </c>
      <c r="D17" s="243">
        <f>C17/AA17</f>
        <v>0.45314861209574658</v>
      </c>
      <c r="E17" s="243">
        <f>C17/AB17</f>
        <v>3.7981802661648779E-2</v>
      </c>
      <c r="F17" s="240">
        <v>1</v>
      </c>
      <c r="G17" s="240"/>
      <c r="H17" s="240"/>
      <c r="I17" s="240"/>
      <c r="J17" s="430">
        <f t="shared" si="2"/>
        <v>1</v>
      </c>
      <c r="K17" s="299">
        <v>1</v>
      </c>
      <c r="L17" s="300"/>
      <c r="M17" s="240"/>
      <c r="N17" s="430">
        <f>SUM(K17:M17)</f>
        <v>1</v>
      </c>
      <c r="O17" s="677">
        <f>'Intermediate geothermal'!$J25</f>
        <v>2061144.46826361</v>
      </c>
      <c r="P17" s="243">
        <f>O17/AA17</f>
        <v>0.45314861209574658</v>
      </c>
      <c r="Q17" s="243">
        <f>O17/AB17</f>
        <v>3.7981802661648779E-2</v>
      </c>
      <c r="R17" s="240">
        <v>1</v>
      </c>
      <c r="S17" s="240"/>
      <c r="T17" s="240"/>
      <c r="U17" s="240"/>
      <c r="V17" s="430">
        <f>SUM(R17:U17)</f>
        <v>1</v>
      </c>
      <c r="W17" s="299">
        <v>1</v>
      </c>
      <c r="X17" s="300"/>
      <c r="Y17" s="240"/>
      <c r="Z17" s="430">
        <f>SUM(W17:Y17)</f>
        <v>1</v>
      </c>
      <c r="AA17" s="706">
        <f>SUM('Intermediate geothermal'!$B$25:$B$27)*GJ.per.GWh/1000</f>
        <v>4548495.5999999996</v>
      </c>
      <c r="AB17" s="707">
        <f>'Energy data by fuel cycle'!$G$19</f>
        <v>54266630.960746937</v>
      </c>
      <c r="AD17" s="16" t="s">
        <v>889</v>
      </c>
      <c r="AE17" s="18">
        <f>H13*C13</f>
        <v>0</v>
      </c>
      <c r="AF17" s="18">
        <f>T13*O13</f>
        <v>0</v>
      </c>
    </row>
    <row r="18" spans="1:32" ht="15" customHeight="1" thickTop="1" thickBot="1">
      <c r="A18" s="245"/>
      <c r="B18" s="232" t="s">
        <v>571</v>
      </c>
      <c r="C18" s="243">
        <f>'Intermediate geothermal'!$J38</f>
        <v>946080</v>
      </c>
      <c r="D18" s="243">
        <f>C18/AA18</f>
        <v>0.53878515019558637</v>
      </c>
      <c r="E18" s="243">
        <f>C18/AB18</f>
        <v>1.7433918104927771E-2</v>
      </c>
      <c r="F18" s="240">
        <v>1</v>
      </c>
      <c r="G18" s="240"/>
      <c r="H18" s="240"/>
      <c r="I18" s="240"/>
      <c r="J18" s="430">
        <f t="shared" si="2"/>
        <v>1</v>
      </c>
      <c r="K18" s="299">
        <v>1</v>
      </c>
      <c r="L18" s="300"/>
      <c r="M18" s="240"/>
      <c r="N18" s="430">
        <f>SUM(K18:M18)</f>
        <v>1</v>
      </c>
      <c r="O18" s="677">
        <f>'Intermediate geothermal'!$J38</f>
        <v>946080</v>
      </c>
      <c r="P18" s="243">
        <f>O18/AA18</f>
        <v>0.53878515019558637</v>
      </c>
      <c r="Q18" s="243">
        <f>O18/AB18</f>
        <v>1.7433918104927771E-2</v>
      </c>
      <c r="R18" s="240">
        <v>1</v>
      </c>
      <c r="S18" s="240"/>
      <c r="T18" s="240"/>
      <c r="U18" s="240"/>
      <c r="V18" s="430">
        <f>SUM(R18:U18)</f>
        <v>1</v>
      </c>
      <c r="W18" s="299">
        <v>1</v>
      </c>
      <c r="X18" s="300"/>
      <c r="Y18" s="240"/>
      <c r="Z18" s="430">
        <f>SUM(W18:Y18)</f>
        <v>1</v>
      </c>
      <c r="AA18" s="706">
        <f>'Intermediate geothermal'!$B$38*GJ.per.GWh/1000</f>
        <v>1755950.4</v>
      </c>
      <c r="AB18" s="707">
        <f>'Energy data by fuel cycle'!$G$19</f>
        <v>54266630.960746937</v>
      </c>
      <c r="AD18" s="16" t="s">
        <v>890</v>
      </c>
      <c r="AE18" s="18">
        <f>I13*C13</f>
        <v>0</v>
      </c>
      <c r="AF18" s="18">
        <f>U13*O13</f>
        <v>0</v>
      </c>
    </row>
    <row r="19" spans="1:32" ht="15" customHeight="1" thickTop="1" thickBot="1">
      <c r="A19" s="223"/>
      <c r="B19" s="232" t="s">
        <v>572</v>
      </c>
      <c r="C19" s="243">
        <f>'Intermediate geothermal'!$Q$7</f>
        <v>128889402.36592908</v>
      </c>
      <c r="D19" s="243">
        <f>C19/AA19</f>
        <v>2.2549985367710295</v>
      </c>
      <c r="E19" s="243">
        <f>C19/AB19</f>
        <v>2.375113399966907</v>
      </c>
      <c r="F19" s="240">
        <v>1</v>
      </c>
      <c r="G19" s="240"/>
      <c r="H19" s="240"/>
      <c r="I19" s="240"/>
      <c r="J19" s="430">
        <f t="shared" si="2"/>
        <v>1</v>
      </c>
      <c r="K19" s="299">
        <v>1</v>
      </c>
      <c r="L19" s="300"/>
      <c r="M19" s="240"/>
      <c r="N19" s="430">
        <f>SUM(K19:M19)</f>
        <v>1</v>
      </c>
      <c r="O19" s="677">
        <f>'Intermediate geothermal'!$Q$7</f>
        <v>128889402.36592908</v>
      </c>
      <c r="P19" s="243">
        <f>O19/AA19</f>
        <v>2.2549985367710295</v>
      </c>
      <c r="Q19" s="243">
        <f>O19/AB19</f>
        <v>2.375113399966907</v>
      </c>
      <c r="R19" s="240">
        <v>1</v>
      </c>
      <c r="S19" s="240"/>
      <c r="T19" s="240"/>
      <c r="U19" s="240"/>
      <c r="V19" s="430">
        <f>SUM(R19:U19)</f>
        <v>1</v>
      </c>
      <c r="W19" s="299">
        <v>1</v>
      </c>
      <c r="X19" s="300"/>
      <c r="Y19" s="240"/>
      <c r="Z19" s="430">
        <f>SUM(W19:Y19)</f>
        <v>1</v>
      </c>
      <c r="AA19" s="706">
        <f>AA15</f>
        <v>57157200</v>
      </c>
      <c r="AB19" s="707">
        <f>'Energy data by fuel cycle'!$G$19</f>
        <v>54266630.960746937</v>
      </c>
    </row>
    <row r="20" spans="1:32" ht="15" customHeight="1" thickTop="1">
      <c r="A20" s="244"/>
      <c r="B20" s="232"/>
      <c r="C20" s="232"/>
      <c r="D20" s="232"/>
      <c r="E20" s="232"/>
      <c r="F20" s="240"/>
      <c r="G20" s="240"/>
      <c r="H20" s="240"/>
      <c r="I20" s="240"/>
      <c r="J20" s="425"/>
      <c r="K20" s="299"/>
      <c r="L20" s="300"/>
      <c r="M20" s="240"/>
      <c r="N20" s="425"/>
      <c r="O20" s="680"/>
      <c r="P20" s="232"/>
      <c r="Q20" s="232"/>
      <c r="R20" s="240"/>
      <c r="S20" s="240"/>
      <c r="T20" s="240"/>
      <c r="U20" s="240"/>
      <c r="V20" s="425"/>
      <c r="W20" s="299"/>
      <c r="X20" s="300"/>
      <c r="Y20" s="240"/>
      <c r="Z20" s="425"/>
      <c r="AA20" s="301"/>
      <c r="AB20" s="708"/>
      <c r="AD20" s="16" t="s">
        <v>614</v>
      </c>
      <c r="AE20" s="419">
        <f>SUM(C15:C19)</f>
        <v>150080612.11469269</v>
      </c>
      <c r="AF20" s="419">
        <f>SUM(O15:O19)</f>
        <v>150080612.11469269</v>
      </c>
    </row>
    <row r="21" spans="1:32" ht="15" customHeight="1" thickBot="1">
      <c r="A21" s="222" t="s">
        <v>68</v>
      </c>
      <c r="B21" s="232"/>
      <c r="C21" s="232"/>
      <c r="D21" s="232"/>
      <c r="E21" s="232"/>
      <c r="F21" s="240"/>
      <c r="G21" s="240"/>
      <c r="H21" s="240"/>
      <c r="I21" s="240"/>
      <c r="J21" s="431"/>
      <c r="K21" s="301"/>
      <c r="L21" s="244"/>
      <c r="M21" s="232"/>
      <c r="N21" s="431"/>
      <c r="O21" s="680"/>
      <c r="P21" s="232"/>
      <c r="Q21" s="232"/>
      <c r="R21" s="232"/>
      <c r="S21" s="232"/>
      <c r="T21" s="232"/>
      <c r="U21" s="232"/>
      <c r="V21" s="431"/>
      <c r="W21" s="301"/>
      <c r="X21" s="244"/>
      <c r="Y21" s="232"/>
      <c r="Z21" s="431"/>
      <c r="AA21" s="301"/>
      <c r="AB21" s="708"/>
      <c r="AD21" s="16" t="s">
        <v>82</v>
      </c>
    </row>
    <row r="22" spans="1:32" ht="15" customHeight="1" thickTop="1" thickBot="1">
      <c r="A22" s="232"/>
      <c r="B22" s="232" t="s">
        <v>573</v>
      </c>
      <c r="C22" s="243">
        <f>SUM('Intermediate geothermal'!C81:C82)</f>
        <v>2121552.9232487571</v>
      </c>
      <c r="D22" s="243">
        <f>C22/AA22</f>
        <v>4.9606625026872186E-2</v>
      </c>
      <c r="E22" s="243">
        <f>C22/AB22</f>
        <v>3.9094981311505315E-2</v>
      </c>
      <c r="F22" s="240">
        <f>SUM('Intermediate geothermal'!W39:X39)/SUM('Intermediate geothermal'!W41:X41)</f>
        <v>0.93431825322699102</v>
      </c>
      <c r="G22" s="240">
        <f>SUM('Intermediate geothermal'!W38:X38)/SUM('Intermediate geothermal'!W41:X41)</f>
        <v>6.5681746617462428E-2</v>
      </c>
      <c r="H22" s="240"/>
      <c r="I22" s="240"/>
      <c r="J22" s="430">
        <f t="shared" si="2"/>
        <v>0.99999999984445342</v>
      </c>
      <c r="K22" s="299">
        <f>SUM('Intermediate geothermal'!W46:X46)/SUM('Intermediate geothermal'!W48:X48)</f>
        <v>0.61652664954172109</v>
      </c>
      <c r="L22" s="300">
        <f>SUM('Intermediate geothermal'!W47:X47)/SUM('Intermediate geothermal'!W48:X48)</f>
        <v>0.38347335045827896</v>
      </c>
      <c r="M22" s="240"/>
      <c r="N22" s="430">
        <f>SUM(K22:M22)</f>
        <v>1</v>
      </c>
      <c r="O22" s="677">
        <f>SUM('Intermediate geothermal'!B81:B82)</f>
        <v>2121552.9232487571</v>
      </c>
      <c r="P22" s="243">
        <f>O22/AA22</f>
        <v>4.9606625026872186E-2</v>
      </c>
      <c r="Q22" s="243">
        <f t="shared" ref="Q22:Q27" si="3">O22/AB22</f>
        <v>3.9094981311505315E-2</v>
      </c>
      <c r="R22" s="240">
        <f>F22</f>
        <v>0.93431825322699102</v>
      </c>
      <c r="S22" s="240">
        <f>G22</f>
        <v>6.5681746617462428E-2</v>
      </c>
      <c r="T22" s="240"/>
      <c r="U22" s="240"/>
      <c r="V22" s="430">
        <f t="shared" ref="V22:V27" si="4">SUM(R22:U22)</f>
        <v>0.99999999984445342</v>
      </c>
      <c r="W22" s="299">
        <f>K22</f>
        <v>0.61652664954172109</v>
      </c>
      <c r="X22" s="300">
        <f>L22</f>
        <v>0.38347335045827896</v>
      </c>
      <c r="Y22" s="240"/>
      <c r="Z22" s="430">
        <f t="shared" ref="Z22:Z27" si="5">SUM(W22:Y22)</f>
        <v>1</v>
      </c>
      <c r="AA22" s="706">
        <f>SUM('Intermediate geothermal'!D81:D82)*GJ.per.GWh/1000</f>
        <v>42767532</v>
      </c>
      <c r="AB22" s="707">
        <f>'Energy data by fuel cycle'!$G$19</f>
        <v>54266630.960746937</v>
      </c>
      <c r="AD22" s="16" t="s">
        <v>891</v>
      </c>
    </row>
    <row r="23" spans="1:32" ht="15" customHeight="1" thickTop="1" thickBot="1">
      <c r="A23" s="232"/>
      <c r="B23" s="232" t="s">
        <v>574</v>
      </c>
      <c r="C23" s="243">
        <f>GETPIVOTDATA("Sum of Est water consumption, 2014, m^3",'Intermediate geothermal'!$A$78,"Plant type","flash steam","Cooling type","hybrid")</f>
        <v>10342.0429528</v>
      </c>
      <c r="D23" s="243">
        <f>C23/AA23</f>
        <v>4.2060111111111111E-2</v>
      </c>
      <c r="E23" s="243">
        <f>C23/AB23</f>
        <v>1.9057831248600604E-4</v>
      </c>
      <c r="F23" s="281">
        <f>'Intermediate geothermal'!T39/'Intermediate geothermal'!T41</f>
        <v>1</v>
      </c>
      <c r="G23" s="240"/>
      <c r="H23" s="240"/>
      <c r="I23" s="240"/>
      <c r="J23" s="430">
        <f t="shared" si="2"/>
        <v>1</v>
      </c>
      <c r="K23" s="299">
        <v>1</v>
      </c>
      <c r="L23" s="300"/>
      <c r="M23" s="240"/>
      <c r="N23" s="430">
        <f>SUM(K23:M23)</f>
        <v>1</v>
      </c>
      <c r="O23" s="677">
        <f>GETPIVOTDATA("Sum of Est water withdrawal, 2014, m^3",'Intermediate geothermal'!$A$78,"Plant type","flash steam","Cooling type","hybrid")</f>
        <v>10342.0429528</v>
      </c>
      <c r="P23" s="243">
        <f>O23/AA23</f>
        <v>4.2060111111111111E-2</v>
      </c>
      <c r="Q23" s="243">
        <f t="shared" si="3"/>
        <v>1.9057831248600604E-4</v>
      </c>
      <c r="R23" s="281">
        <f>F23</f>
        <v>1</v>
      </c>
      <c r="S23" s="240"/>
      <c r="T23" s="240"/>
      <c r="U23" s="240"/>
      <c r="V23" s="430">
        <f t="shared" si="4"/>
        <v>1</v>
      </c>
      <c r="W23" s="299">
        <v>1</v>
      </c>
      <c r="X23" s="300"/>
      <c r="Y23" s="240"/>
      <c r="Z23" s="430">
        <f t="shared" si="5"/>
        <v>1</v>
      </c>
      <c r="AA23" s="706">
        <f>'Intermediate geothermal'!$D$87*GJ.per.GWh/1000</f>
        <v>245887.2</v>
      </c>
      <c r="AB23" s="707">
        <f>'Energy data by fuel cycle'!$G$19</f>
        <v>54266630.960746937</v>
      </c>
      <c r="AD23" s="16" t="s">
        <v>892</v>
      </c>
      <c r="AE23" s="419">
        <f>SUM(C22:C27)</f>
        <v>18237182.961024757</v>
      </c>
      <c r="AF23" s="419">
        <f>SUM(O22:O27)</f>
        <v>18424716.776997481</v>
      </c>
    </row>
    <row r="24" spans="1:32" ht="15" customHeight="1" thickTop="1" thickBot="1">
      <c r="A24" s="232"/>
      <c r="B24" s="232" t="s">
        <v>575</v>
      </c>
      <c r="C24" s="243">
        <f>GETPIVOTDATA("Sum of Est water consumption, 2014, m^3",'Intermediate geothermal'!$A$78,"Plant type","binary","Cooling type","wet")</f>
        <v>14519397.4404776</v>
      </c>
      <c r="D24" s="243">
        <f>C24/AA24</f>
        <v>2.8118050206663852</v>
      </c>
      <c r="E24" s="243">
        <f>C24/AB24</f>
        <v>0.26755663993550693</v>
      </c>
      <c r="F24" s="240">
        <f>'Intermediate geothermal'!V39/'Intermediate geothermal'!V41</f>
        <v>1</v>
      </c>
      <c r="G24" s="240"/>
      <c r="H24" s="240"/>
      <c r="I24" s="240"/>
      <c r="J24" s="430">
        <f t="shared" si="2"/>
        <v>1</v>
      </c>
      <c r="K24" s="502">
        <f>GETPIVOTDATA("Est water consumption, 2014, m^3",'Intermediate geothermal'!$P$43,"Plant type","binary","Cooling type","wet","Source","groundwater")/GETPIVOTDATA("Est water consumption, 2014, m^3",'Intermediate geothermal'!$P$43,"Plant type","binary","Cooling type","wet")</f>
        <v>0.62721199052599264</v>
      </c>
      <c r="L24" s="300">
        <f>GETPIVOTDATA("Est water consumption, 2014, m^3",'Intermediate geothermal'!$P$43,"Plant type","binary","Cooling type","wet","Source","surface water")/GETPIVOTDATA("Est water consumption, 2014, m^3",'Intermediate geothermal'!$P$43,"Plant type","binary","Cooling type","wet")</f>
        <v>0.37278800947400736</v>
      </c>
      <c r="M24" s="240"/>
      <c r="N24" s="430">
        <f>SUM(K24:M24)</f>
        <v>1</v>
      </c>
      <c r="O24" s="677">
        <f>GETPIVOTDATA("Sum of Est water withdrawal, 2014, m^3",'Intermediate geothermal'!$A$78,"Plant type","binary","Cooling type","wet")</f>
        <v>14519397.4404776</v>
      </c>
      <c r="P24" s="243">
        <f>O24/AA24</f>
        <v>2.8118050206663852</v>
      </c>
      <c r="Q24" s="243">
        <f t="shared" si="3"/>
        <v>0.26755663993550693</v>
      </c>
      <c r="R24" s="240">
        <v>1.0000000000000002</v>
      </c>
      <c r="S24" s="240"/>
      <c r="T24" s="240"/>
      <c r="U24" s="240"/>
      <c r="V24" s="430">
        <f t="shared" si="4"/>
        <v>1.0000000000000002</v>
      </c>
      <c r="W24" s="299">
        <f>K24</f>
        <v>0.62721199052599264</v>
      </c>
      <c r="X24" s="300">
        <f>L24</f>
        <v>0.37278800947400736</v>
      </c>
      <c r="Y24" s="240"/>
      <c r="Z24" s="430">
        <f t="shared" si="5"/>
        <v>1</v>
      </c>
      <c r="AA24" s="706">
        <f>'Intermediate geothermal'!$D$80*GJ.per.GWh/1000</f>
        <v>5163728.4000000004</v>
      </c>
      <c r="AB24" s="707">
        <f>'Energy data by fuel cycle'!$G$19</f>
        <v>54266630.960746937</v>
      </c>
      <c r="AD24" s="16" t="s">
        <v>893</v>
      </c>
    </row>
    <row r="25" spans="1:32" ht="15" customHeight="1" thickTop="1" thickBot="1">
      <c r="A25" s="232"/>
      <c r="B25" s="232" t="s">
        <v>576</v>
      </c>
      <c r="C25" s="243">
        <f>GETPIVOTDATA("Sum of Est water consumption, 2014, m^3",'Intermediate geothermal'!$A$78,"Plant type","binary","Cooling type","hybrid")</f>
        <v>1258539.0481099999</v>
      </c>
      <c r="D25" s="243">
        <f>C25/AA25</f>
        <v>1.0515027777777777</v>
      </c>
      <c r="E25" s="243">
        <f>C25/AB25</f>
        <v>2.3191766760319941E-2</v>
      </c>
      <c r="F25" s="240">
        <v>1</v>
      </c>
      <c r="G25" s="240"/>
      <c r="H25" s="240"/>
      <c r="I25" s="240"/>
      <c r="J25" s="430">
        <f t="shared" si="2"/>
        <v>1</v>
      </c>
      <c r="K25" s="299">
        <v>1</v>
      </c>
      <c r="L25" s="300"/>
      <c r="M25" s="240"/>
      <c r="N25" s="430">
        <f>SUM(K25:M25)</f>
        <v>1</v>
      </c>
      <c r="O25" s="677">
        <f>GETPIVOTDATA("Sum of Est water withdrawal, 2014, m^3",'Intermediate geothermal'!$A$78,"Plant type","binary","Cooling type","hybrid")</f>
        <v>1258539.0481099999</v>
      </c>
      <c r="P25" s="243">
        <f>O25/AA25</f>
        <v>1.0515027777777777</v>
      </c>
      <c r="Q25" s="243">
        <f t="shared" si="3"/>
        <v>2.3191766760319941E-2</v>
      </c>
      <c r="R25" s="240">
        <v>1</v>
      </c>
      <c r="S25" s="240"/>
      <c r="T25" s="240"/>
      <c r="U25" s="240"/>
      <c r="V25" s="430">
        <f t="shared" si="4"/>
        <v>1</v>
      </c>
      <c r="W25" s="299">
        <v>1</v>
      </c>
      <c r="X25" s="300"/>
      <c r="Y25" s="240"/>
      <c r="Z25" s="430">
        <f t="shared" si="5"/>
        <v>1</v>
      </c>
      <c r="AA25" s="706">
        <f>'Intermediate geothermal'!$D$86*GJ.per.GWh/1000</f>
        <v>1196895.6000000001</v>
      </c>
      <c r="AB25" s="707">
        <f>'Energy data by fuel cycle'!$G$19</f>
        <v>54266630.960746937</v>
      </c>
    </row>
    <row r="26" spans="1:32" ht="15" customHeight="1" thickTop="1" thickBot="1">
      <c r="A26" s="232"/>
      <c r="B26" s="232" t="s">
        <v>577</v>
      </c>
      <c r="C26" s="243">
        <f>GETPIVOTDATA("Sum of Est water consumption, 2014, m^3",'Intermediate geothermal'!$A$78,"Plant type","binary","Cooling type","air")</f>
        <v>327351.50623559998</v>
      </c>
      <c r="D26" s="243">
        <f>C26/AA26</f>
        <v>4.2060111111111104E-2</v>
      </c>
      <c r="E26" s="243">
        <f>C26/AB26</f>
        <v>6.0322798825006374E-3</v>
      </c>
      <c r="F26" s="240">
        <v>1</v>
      </c>
      <c r="G26" s="240"/>
      <c r="H26" s="240"/>
      <c r="I26" s="240"/>
      <c r="J26" s="430">
        <f t="shared" si="2"/>
        <v>1</v>
      </c>
      <c r="K26" s="299">
        <v>1</v>
      </c>
      <c r="L26" s="300"/>
      <c r="M26" s="240"/>
      <c r="N26" s="430">
        <f>SUM(K26:M26)</f>
        <v>1</v>
      </c>
      <c r="O26" s="700">
        <f>GETPIVOTDATA("Sum of Est water withdrawal, 2014, m^3",'Intermediate geothermal'!$A$78,"Plant type","binary","Cooling type","air")</f>
        <v>327351.50623559998</v>
      </c>
      <c r="P26" s="513">
        <f>O26/AA26</f>
        <v>4.2060111111111104E-2</v>
      </c>
      <c r="Q26" s="513">
        <f t="shared" si="3"/>
        <v>6.0322798825006374E-3</v>
      </c>
      <c r="R26" s="240">
        <v>1</v>
      </c>
      <c r="S26" s="240"/>
      <c r="T26" s="240"/>
      <c r="U26" s="240"/>
      <c r="V26" s="430">
        <f t="shared" si="4"/>
        <v>1</v>
      </c>
      <c r="W26" s="299">
        <v>1</v>
      </c>
      <c r="X26" s="300"/>
      <c r="Y26" s="240"/>
      <c r="Z26" s="430">
        <f t="shared" si="5"/>
        <v>1</v>
      </c>
      <c r="AA26" s="706">
        <f>'Intermediate geothermal'!$D$84*GJ.per.GWh/1000</f>
        <v>7782944.4000000004</v>
      </c>
      <c r="AB26" s="707">
        <f>'Energy data by fuel cycle'!$G$19</f>
        <v>54266630.960746937</v>
      </c>
    </row>
    <row r="27" spans="1:32" ht="15" customHeight="1" thickTop="1" thickBot="1">
      <c r="A27" s="232"/>
      <c r="B27" s="232" t="s">
        <v>578</v>
      </c>
      <c r="C27" s="283">
        <f>AA27*D27</f>
        <v>0</v>
      </c>
      <c r="D27" s="240"/>
      <c r="E27" s="240"/>
      <c r="F27" s="240"/>
      <c r="G27" s="240"/>
      <c r="H27" s="240"/>
      <c r="I27" s="240"/>
      <c r="J27" s="240"/>
      <c r="K27" s="244"/>
      <c r="L27" s="244"/>
      <c r="M27" s="232"/>
      <c r="N27" s="425"/>
      <c r="O27" s="699">
        <f>AA27*P27</f>
        <v>187533.81597272403</v>
      </c>
      <c r="P27" s="384">
        <f>'Intermediate geothermal'!B114</f>
        <v>2.6909069281630553</v>
      </c>
      <c r="Q27" s="385">
        <f t="shared" si="3"/>
        <v>3.4557851234283217E-3</v>
      </c>
      <c r="R27" s="240">
        <v>1</v>
      </c>
      <c r="S27" s="240"/>
      <c r="T27" s="240"/>
      <c r="U27" s="240"/>
      <c r="V27" s="430">
        <f t="shared" si="4"/>
        <v>1</v>
      </c>
      <c r="W27" s="299">
        <v>1</v>
      </c>
      <c r="X27" s="300"/>
      <c r="Y27" s="240"/>
      <c r="Z27" s="430">
        <f t="shared" si="5"/>
        <v>1</v>
      </c>
      <c r="AA27" s="709">
        <f>'Intermediate geothermal'!B99</f>
        <v>69691.676813491198</v>
      </c>
      <c r="AB27" s="710">
        <f>'Energy data by fuel cycle'!$G$19</f>
        <v>54266630.960746937</v>
      </c>
    </row>
    <row r="28" spans="1:32" ht="15" customHeight="1" thickTop="1">
      <c r="I28" s="17"/>
      <c r="J28" s="514"/>
      <c r="K28" s="17"/>
      <c r="L28" s="17"/>
      <c r="M28" s="17"/>
      <c r="N28" s="514"/>
      <c r="O28" s="17"/>
      <c r="P28" s="17"/>
      <c r="Q28" s="17"/>
      <c r="R28" s="17"/>
      <c r="S28" s="17"/>
      <c r="T28" s="17"/>
      <c r="U28" s="17"/>
      <c r="V28" s="514"/>
      <c r="W28" s="17"/>
      <c r="X28" s="17"/>
      <c r="Z28" s="433"/>
    </row>
    <row r="29" spans="1:32" ht="15" customHeight="1">
      <c r="I29" s="17"/>
      <c r="J29" s="514"/>
      <c r="K29" s="17"/>
      <c r="L29" s="17"/>
      <c r="M29" s="17"/>
      <c r="N29" s="514"/>
      <c r="O29" s="17"/>
      <c r="P29" s="17"/>
      <c r="Q29" s="17"/>
      <c r="R29" s="17"/>
      <c r="S29" s="17"/>
      <c r="T29" s="17"/>
      <c r="U29" s="17"/>
      <c r="V29" s="514"/>
      <c r="W29" s="17"/>
      <c r="X29" s="17"/>
      <c r="Z29" s="433"/>
    </row>
    <row r="30" spans="1:32" ht="15" customHeight="1">
      <c r="I30" s="17"/>
      <c r="J30" s="514"/>
      <c r="K30" s="17"/>
      <c r="L30" s="17"/>
      <c r="M30" s="17"/>
      <c r="N30" s="514"/>
      <c r="O30" s="17"/>
      <c r="P30" s="17"/>
      <c r="Q30" s="17"/>
      <c r="R30" s="17"/>
      <c r="S30" s="17"/>
      <c r="T30" s="17"/>
      <c r="U30" s="17"/>
      <c r="V30" s="514"/>
      <c r="W30" s="17"/>
      <c r="X30" s="17"/>
      <c r="Z30" s="433"/>
    </row>
    <row r="31" spans="1:32" ht="15" customHeight="1">
      <c r="I31" s="17"/>
      <c r="J31" s="514"/>
      <c r="K31" s="17"/>
      <c r="L31" s="17"/>
      <c r="M31" s="17"/>
      <c r="N31" s="514"/>
      <c r="O31" s="17"/>
      <c r="P31" s="17"/>
      <c r="Q31" s="17"/>
      <c r="R31" s="17"/>
      <c r="S31" s="17"/>
      <c r="T31" s="17"/>
      <c r="U31" s="17"/>
      <c r="V31" s="514"/>
      <c r="W31" s="17"/>
      <c r="X31" s="17"/>
      <c r="Z31" s="433"/>
    </row>
    <row r="32" spans="1:32" ht="15" customHeight="1">
      <c r="J32" s="433"/>
      <c r="N32" s="433"/>
      <c r="V32" s="433"/>
      <c r="Z32" s="433"/>
    </row>
    <row r="33" spans="2:26" ht="15" customHeight="1">
      <c r="J33" s="433"/>
      <c r="N33" s="433"/>
      <c r="V33" s="433"/>
      <c r="Z33" s="433"/>
    </row>
    <row r="34" spans="2:26" ht="15" customHeight="1">
      <c r="J34" s="433"/>
      <c r="N34" s="433"/>
    </row>
    <row r="35" spans="2:26" ht="15" customHeight="1">
      <c r="J35" s="433"/>
      <c r="N35" s="433"/>
      <c r="V35" s="433"/>
      <c r="Z35" s="433"/>
    </row>
    <row r="36" spans="2:26" ht="15" customHeight="1">
      <c r="J36" s="433"/>
      <c r="N36" s="433"/>
      <c r="V36" s="433"/>
      <c r="Z36" s="429"/>
    </row>
    <row r="37" spans="2:26" ht="15" customHeight="1">
      <c r="J37" s="433"/>
      <c r="N37" s="433"/>
      <c r="V37" s="433"/>
      <c r="Z37" s="433"/>
    </row>
    <row r="38" spans="2:26" ht="15" customHeight="1">
      <c r="J38" s="433"/>
      <c r="N38" s="433"/>
      <c r="V38" s="433"/>
      <c r="Z38" s="433"/>
    </row>
    <row r="39" spans="2:26" ht="15" customHeight="1">
      <c r="J39" s="433"/>
      <c r="N39" s="433"/>
      <c r="V39" s="433"/>
      <c r="Z39" s="433"/>
    </row>
    <row r="40" spans="2:26" ht="15" customHeight="1"/>
    <row r="41" spans="2:26" ht="15" customHeight="1"/>
    <row r="42" spans="2:26" ht="15" customHeight="1"/>
    <row r="43" spans="2:26" ht="15" customHeight="1"/>
    <row r="44" spans="2:26" ht="15" customHeight="1">
      <c r="B44" s="14"/>
    </row>
    <row r="45" spans="2:26" ht="15" customHeight="1"/>
    <row r="46" spans="2:26" ht="15" customHeight="1"/>
    <row r="47" spans="2:26" ht="15" customHeight="1"/>
    <row r="48" spans="2: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39997558519241921"/>
    <pageSetUpPr fitToPage="1"/>
  </sheetPr>
  <dimension ref="A1:AF65"/>
  <sheetViews>
    <sheetView workbookViewId="0"/>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9" width="10.83203125" style="16"/>
    <col min="30" max="30" width="0" style="16" hidden="1" customWidth="1"/>
    <col min="31" max="32" width="11.1640625" style="16" hidden="1" customWidth="1"/>
    <col min="33" max="16384" width="10.83203125" style="16"/>
  </cols>
  <sheetData>
    <row r="1" spans="1:32" ht="30">
      <c r="A1" s="289" t="s">
        <v>579</v>
      </c>
      <c r="B1" s="290"/>
      <c r="C1" s="410"/>
      <c r="D1" s="410"/>
      <c r="E1" s="410"/>
      <c r="F1" s="410"/>
      <c r="G1" s="410"/>
      <c r="H1" s="410"/>
      <c r="I1" s="410"/>
      <c r="J1" s="410"/>
      <c r="K1" s="410"/>
      <c r="L1" s="410"/>
      <c r="M1" s="410"/>
      <c r="N1" s="410"/>
      <c r="O1" s="410"/>
      <c r="P1" s="410"/>
      <c r="Q1" s="410"/>
      <c r="R1" s="410"/>
      <c r="S1" s="410"/>
      <c r="T1" s="410"/>
      <c r="U1" s="410"/>
      <c r="V1" s="290"/>
      <c r="W1" s="290"/>
      <c r="X1" s="290"/>
      <c r="Y1" s="290"/>
      <c r="Z1" s="290"/>
      <c r="AA1" s="290"/>
      <c r="AB1" s="290"/>
    </row>
    <row r="2" spans="1:32" ht="30">
      <c r="A2" s="289"/>
      <c r="B2" s="290"/>
      <c r="C2" s="290"/>
      <c r="D2" s="410"/>
      <c r="E2" s="410"/>
      <c r="F2" s="410"/>
      <c r="G2" s="410"/>
      <c r="H2" s="410"/>
      <c r="I2" s="410"/>
      <c r="J2" s="410"/>
      <c r="K2" s="410"/>
      <c r="L2" s="410"/>
      <c r="M2" s="410"/>
      <c r="N2" s="410"/>
      <c r="O2" s="410"/>
      <c r="P2" s="410"/>
      <c r="Q2" s="410"/>
      <c r="R2" s="410"/>
      <c r="S2" s="410"/>
      <c r="T2" s="410"/>
      <c r="U2" s="410"/>
      <c r="V2" s="290"/>
      <c r="W2" s="290"/>
      <c r="X2" s="290"/>
      <c r="Y2" s="290"/>
      <c r="Z2" s="290"/>
      <c r="AA2" s="290"/>
      <c r="AB2" s="290"/>
    </row>
    <row r="3" spans="1:32" ht="30">
      <c r="A3" s="289"/>
      <c r="B3" s="290"/>
      <c r="C3" s="290"/>
      <c r="D3" s="290"/>
      <c r="E3" s="291"/>
      <c r="F3" s="290"/>
      <c r="G3" s="290"/>
      <c r="H3" s="290"/>
      <c r="I3" s="290"/>
      <c r="J3" s="290"/>
      <c r="K3" s="290"/>
      <c r="L3" s="290"/>
      <c r="M3" s="290"/>
      <c r="N3" s="290"/>
      <c r="O3" s="290"/>
      <c r="P3" s="290"/>
      <c r="Q3" s="290"/>
      <c r="R3" s="290"/>
      <c r="S3" s="290"/>
      <c r="T3" s="290"/>
      <c r="U3" s="290"/>
      <c r="V3" s="290"/>
      <c r="W3" s="290"/>
      <c r="X3" s="290"/>
      <c r="Y3" s="290"/>
      <c r="Z3" s="290"/>
      <c r="AA3" s="290"/>
      <c r="AB3" s="290"/>
    </row>
    <row r="4" spans="1:32" ht="30">
      <c r="A4" s="289"/>
      <c r="B4" s="290"/>
      <c r="C4" s="290"/>
      <c r="D4" s="290"/>
      <c r="E4" s="291"/>
      <c r="F4" s="290"/>
      <c r="G4" s="290"/>
      <c r="H4" s="290"/>
      <c r="I4" s="290"/>
      <c r="J4" s="290"/>
      <c r="K4" s="290"/>
      <c r="L4" s="290"/>
      <c r="M4" s="290"/>
      <c r="N4" s="290"/>
      <c r="O4" s="290"/>
      <c r="P4" s="290"/>
      <c r="Q4" s="290"/>
      <c r="R4" s="290"/>
      <c r="S4" s="290"/>
      <c r="T4" s="290"/>
      <c r="U4" s="290"/>
      <c r="V4" s="290"/>
      <c r="W4" s="290"/>
      <c r="X4" s="290"/>
      <c r="Y4" s="290"/>
      <c r="Z4" s="290"/>
      <c r="AA4" s="290"/>
      <c r="AB4" s="290"/>
    </row>
    <row r="5" spans="1:32" ht="30">
      <c r="A5" s="289"/>
      <c r="B5" s="290"/>
      <c r="C5" s="290"/>
      <c r="D5" s="290"/>
      <c r="E5" s="291"/>
      <c r="F5" s="290"/>
      <c r="G5" s="290"/>
      <c r="H5" s="290"/>
      <c r="I5" s="290"/>
      <c r="J5" s="290"/>
      <c r="K5" s="290"/>
      <c r="L5" s="290"/>
      <c r="M5" s="290"/>
      <c r="N5" s="290"/>
      <c r="O5" s="290"/>
      <c r="P5" s="290"/>
      <c r="Q5" s="290"/>
      <c r="R5" s="290"/>
      <c r="S5" s="290"/>
      <c r="T5" s="290"/>
      <c r="U5" s="290"/>
      <c r="V5" s="290"/>
      <c r="W5" s="290"/>
      <c r="X5" s="290"/>
      <c r="Y5" s="290"/>
      <c r="Z5" s="290"/>
      <c r="AA5" s="290"/>
      <c r="AB5" s="290"/>
    </row>
    <row r="6" spans="1:32" ht="30">
      <c r="A6" s="289"/>
      <c r="B6" s="290"/>
      <c r="C6" s="290"/>
      <c r="D6" s="290"/>
      <c r="E6" s="291"/>
      <c r="F6" s="290"/>
      <c r="G6" s="290"/>
      <c r="H6" s="290"/>
      <c r="I6" s="290"/>
      <c r="J6" s="290"/>
      <c r="K6" s="290"/>
      <c r="L6" s="290"/>
      <c r="M6" s="290"/>
      <c r="N6" s="290"/>
      <c r="O6" s="290"/>
      <c r="P6" s="290"/>
      <c r="Q6" s="290"/>
      <c r="R6" s="290"/>
      <c r="S6" s="290"/>
      <c r="T6" s="290"/>
      <c r="U6" s="290"/>
      <c r="V6" s="290"/>
      <c r="W6" s="290"/>
      <c r="X6" s="290"/>
      <c r="Y6" s="290"/>
      <c r="Z6" s="290"/>
      <c r="AA6" s="290"/>
      <c r="AB6" s="290"/>
    </row>
    <row r="7" spans="1:32" ht="30">
      <c r="A7" s="289"/>
      <c r="B7" s="290"/>
      <c r="C7" s="290"/>
      <c r="D7" s="290"/>
      <c r="E7" s="291"/>
      <c r="F7" s="290"/>
      <c r="G7" s="290"/>
      <c r="H7" s="290"/>
      <c r="I7" s="290"/>
      <c r="J7" s="290"/>
      <c r="K7" s="290"/>
      <c r="L7" s="290"/>
      <c r="M7" s="290"/>
      <c r="N7" s="290"/>
      <c r="O7" s="290"/>
      <c r="P7" s="290"/>
      <c r="Q7" s="290"/>
      <c r="R7" s="290"/>
      <c r="S7" s="290"/>
      <c r="T7" s="290"/>
      <c r="U7" s="290"/>
      <c r="V7" s="290"/>
      <c r="W7" s="290"/>
      <c r="X7" s="290"/>
      <c r="Y7" s="290"/>
      <c r="Z7" s="290"/>
      <c r="AA7" s="290"/>
      <c r="AB7" s="290"/>
    </row>
    <row r="8" spans="1:32" ht="30">
      <c r="A8" s="289"/>
      <c r="B8" s="290"/>
      <c r="C8" s="290"/>
      <c r="D8" s="290"/>
      <c r="E8" s="291"/>
      <c r="F8" s="290"/>
      <c r="G8" s="290"/>
      <c r="H8" s="290"/>
      <c r="I8" s="290"/>
      <c r="J8" s="290"/>
      <c r="K8" s="290"/>
      <c r="L8" s="290"/>
      <c r="M8" s="290"/>
      <c r="N8" s="290"/>
      <c r="O8" s="290"/>
      <c r="P8" s="290"/>
      <c r="Q8" s="290"/>
      <c r="R8" s="290"/>
      <c r="S8" s="290"/>
      <c r="T8" s="290"/>
      <c r="U8" s="290"/>
      <c r="V8" s="290"/>
      <c r="W8" s="290"/>
      <c r="X8" s="290"/>
      <c r="Y8" s="290"/>
      <c r="Z8" s="290"/>
      <c r="AA8" s="290"/>
      <c r="AB8" s="290"/>
    </row>
    <row r="9" spans="1:32" ht="31" thickBot="1">
      <c r="A9" s="289"/>
      <c r="B9" s="290"/>
      <c r="C9" s="290"/>
      <c r="D9" s="290"/>
      <c r="E9" s="291"/>
      <c r="F9" s="290"/>
      <c r="G9" s="290"/>
      <c r="H9" s="290"/>
      <c r="I9" s="290"/>
      <c r="J9" s="290"/>
      <c r="K9" s="290"/>
      <c r="L9" s="290"/>
      <c r="M9" s="290"/>
      <c r="N9" s="290"/>
      <c r="O9" s="290"/>
      <c r="P9" s="290"/>
      <c r="Q9" s="290"/>
      <c r="R9" s="290"/>
      <c r="S9" s="290"/>
      <c r="T9" s="290"/>
      <c r="U9" s="290"/>
      <c r="V9" s="290"/>
      <c r="W9" s="290"/>
      <c r="X9" s="290"/>
      <c r="Y9" s="290"/>
      <c r="Z9" s="290"/>
      <c r="AA9" s="290"/>
      <c r="AB9" s="290"/>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0</v>
      </c>
      <c r="AF11" s="18">
        <f>X13*O13</f>
        <v>0</v>
      </c>
    </row>
    <row r="12" spans="1:32" ht="15" customHeight="1" thickBot="1">
      <c r="A12" s="268"/>
      <c r="B12" s="268" t="s">
        <v>48</v>
      </c>
      <c r="C12" s="269">
        <f>SUM(C15:C16)</f>
        <v>169190.55555555553</v>
      </c>
      <c r="D12" s="269"/>
      <c r="E12" s="269">
        <f>SUM(E15:E16)</f>
        <v>1.869222155365819E-3</v>
      </c>
      <c r="F12" s="270"/>
      <c r="G12" s="270"/>
      <c r="H12" s="270"/>
      <c r="I12" s="270"/>
      <c r="J12" s="270"/>
      <c r="K12" s="501"/>
      <c r="L12" s="270"/>
      <c r="M12" s="270"/>
      <c r="N12" s="270"/>
      <c r="O12" s="276">
        <f>SUM(O15:O16)</f>
        <v>169190.55555555553</v>
      </c>
      <c r="P12" s="268"/>
      <c r="Q12" s="269">
        <f>SUM(Q15:Q16)</f>
        <v>1.869222155365819E-3</v>
      </c>
      <c r="R12" s="270"/>
      <c r="S12" s="270"/>
      <c r="T12" s="270"/>
      <c r="U12" s="270"/>
      <c r="V12" s="270"/>
      <c r="W12" s="501"/>
      <c r="X12" s="270"/>
      <c r="Y12" s="270"/>
      <c r="Z12" s="270"/>
      <c r="AA12" s="235"/>
      <c r="AB12" s="236"/>
      <c r="AD12" s="16" t="s">
        <v>887</v>
      </c>
      <c r="AE12" s="18">
        <f>K13*C13</f>
        <v>169190.55555555553</v>
      </c>
      <c r="AF12" s="18">
        <f>W13*O13</f>
        <v>169190.55555555553</v>
      </c>
    </row>
    <row r="13" spans="1:32" ht="15" customHeight="1" thickTop="1" thickBot="1">
      <c r="A13" s="271"/>
      <c r="B13" s="271" t="s">
        <v>870</v>
      </c>
      <c r="C13" s="272">
        <f>SUM(C15:C16)</f>
        <v>169190.55555555553</v>
      </c>
      <c r="D13" s="272"/>
      <c r="E13" s="272">
        <f>SUM(E15:E16)</f>
        <v>1.869222155365819E-3</v>
      </c>
      <c r="F13" s="282">
        <f>SUMPRODUCT(F15:F16,$C$15:$C$16)/SUM($C$15:$C$16)</f>
        <v>1</v>
      </c>
      <c r="G13" s="282">
        <f t="shared" ref="G13:M13" si="0">SUMPRODUCT(G15:G16,$C$15:$C$16)/SUM($C$15:$C$16)</f>
        <v>0</v>
      </c>
      <c r="H13" s="282">
        <f t="shared" si="0"/>
        <v>0</v>
      </c>
      <c r="I13" s="282">
        <f t="shared" si="0"/>
        <v>0</v>
      </c>
      <c r="J13" s="430">
        <f>SUM(F13:I13)</f>
        <v>1</v>
      </c>
      <c r="K13" s="393">
        <f t="shared" si="0"/>
        <v>1</v>
      </c>
      <c r="L13" s="282">
        <f>SUMPRODUCT(L15:L16,$C$15:$C$16)/SUM($C$15:$C$16)</f>
        <v>0</v>
      </c>
      <c r="M13" s="282">
        <f t="shared" si="0"/>
        <v>0</v>
      </c>
      <c r="N13" s="430">
        <f>SUM(K13:M13)</f>
        <v>1</v>
      </c>
      <c r="O13" s="277">
        <f>SUM(O15:O16)</f>
        <v>169190.55555555553</v>
      </c>
      <c r="P13" s="271"/>
      <c r="Q13" s="272">
        <f>SUM(Q15:Q16)</f>
        <v>1.869222155365819E-3</v>
      </c>
      <c r="R13" s="282">
        <f>SUMPRODUCT(R15:R16,$O$15:$O$16)/SUM($O$15:$O$16)</f>
        <v>1</v>
      </c>
      <c r="S13" s="282">
        <f t="shared" ref="S13:Y13" si="1">SUMPRODUCT(S15:S16,$O$15:$O$16)/SUM($O$15:$O$16)</f>
        <v>0</v>
      </c>
      <c r="T13" s="282">
        <f t="shared" si="1"/>
        <v>0</v>
      </c>
      <c r="U13" s="282">
        <f t="shared" si="1"/>
        <v>0</v>
      </c>
      <c r="V13" s="430">
        <f>SUM(R13:U13)</f>
        <v>1</v>
      </c>
      <c r="W13" s="393">
        <f t="shared" si="1"/>
        <v>1</v>
      </c>
      <c r="X13" s="282">
        <f>SUMPRODUCT(X15:X16,$O$15:$O$16)/SUM($O$15:$O$16)</f>
        <v>0</v>
      </c>
      <c r="Y13" s="282">
        <f t="shared" si="1"/>
        <v>0</v>
      </c>
      <c r="Z13" s="430">
        <f>SUM(W13:Y13)</f>
        <v>1</v>
      </c>
      <c r="AA13" s="702"/>
      <c r="AB13" s="703"/>
      <c r="AD13" s="16" t="s">
        <v>888</v>
      </c>
      <c r="AE13" s="18">
        <f>M13*C13</f>
        <v>0</v>
      </c>
      <c r="AF13" s="18">
        <f>Y13*O13</f>
        <v>0</v>
      </c>
    </row>
    <row r="14" spans="1:32" ht="15" customHeight="1" thickTop="1" thickBot="1">
      <c r="A14" s="224" t="s">
        <v>591</v>
      </c>
      <c r="B14" s="232"/>
      <c r="C14" s="232"/>
      <c r="D14" s="232"/>
      <c r="E14" s="232"/>
      <c r="F14" s="240"/>
      <c r="G14" s="240"/>
      <c r="H14" s="240"/>
      <c r="I14" s="240"/>
      <c r="J14" s="240"/>
      <c r="K14" s="299"/>
      <c r="L14" s="300"/>
      <c r="M14" s="240"/>
      <c r="N14" s="240"/>
      <c r="O14" s="684"/>
      <c r="P14" s="232"/>
      <c r="Q14" s="232"/>
      <c r="R14" s="232"/>
      <c r="S14" s="232"/>
      <c r="T14" s="232"/>
      <c r="U14" s="232"/>
      <c r="V14" s="232"/>
      <c r="W14" s="301"/>
      <c r="X14" s="244"/>
      <c r="Y14" s="232"/>
      <c r="Z14" s="232"/>
      <c r="AA14" s="704"/>
      <c r="AB14" s="705"/>
      <c r="AE14" s="18"/>
      <c r="AF14" s="18"/>
    </row>
    <row r="15" spans="1:32" ht="15" customHeight="1" thickTop="1" thickBot="1">
      <c r="A15" s="223"/>
      <c r="B15" s="232" t="s">
        <v>580</v>
      </c>
      <c r="C15" s="392">
        <f>'Absolute Volume'!$E$262</f>
        <v>169190.55555555553</v>
      </c>
      <c r="D15" s="387">
        <f>C15/AA15</f>
        <v>3.081795183161303E-3</v>
      </c>
      <c r="E15" s="387">
        <f>C15/AB15</f>
        <v>1.869222155365819E-3</v>
      </c>
      <c r="F15" s="240">
        <v>1</v>
      </c>
      <c r="G15" s="240"/>
      <c r="H15" s="240"/>
      <c r="I15" s="240"/>
      <c r="J15" s="430">
        <f>SUM(F15:I15)</f>
        <v>1</v>
      </c>
      <c r="K15" s="299">
        <v>1</v>
      </c>
      <c r="L15" s="300"/>
      <c r="M15" s="240"/>
      <c r="N15" s="430">
        <f>SUM(K15:M15)</f>
        <v>1</v>
      </c>
      <c r="O15" s="701">
        <f>'Absolute Volume'!$F$262</f>
        <v>169190.55555555553</v>
      </c>
      <c r="P15" s="387">
        <f>O15/AA15</f>
        <v>3.081795183161303E-3</v>
      </c>
      <c r="Q15" s="387">
        <f>O15/AB15</f>
        <v>1.869222155365819E-3</v>
      </c>
      <c r="R15" s="240">
        <v>1</v>
      </c>
      <c r="S15" s="240"/>
      <c r="T15" s="240"/>
      <c r="U15" s="240"/>
      <c r="V15" s="430">
        <f>SUM(R15:U15)</f>
        <v>1</v>
      </c>
      <c r="W15" s="299">
        <v>1</v>
      </c>
      <c r="X15" s="300"/>
      <c r="Y15" s="240"/>
      <c r="Z15" s="430">
        <f>SUM(W15:Y15)</f>
        <v>1</v>
      </c>
      <c r="AA15" s="706">
        <f>($A19/SUM($A$19:$A$20))*'Energy data by fuel cycle'!$F$20</f>
        <v>54900000</v>
      </c>
      <c r="AB15" s="707">
        <f>'Energy data by fuel cycle'!$G$20</f>
        <v>90513883.044813275</v>
      </c>
      <c r="AD15" s="16" t="s">
        <v>267</v>
      </c>
      <c r="AE15" s="18">
        <f>F13*C13</f>
        <v>169190.55555555553</v>
      </c>
      <c r="AF15" s="18">
        <f>R13*O13</f>
        <v>169190.55555555553</v>
      </c>
    </row>
    <row r="16" spans="1:32" ht="15" customHeight="1" thickTop="1">
      <c r="A16" s="223"/>
      <c r="B16" s="232" t="s">
        <v>581</v>
      </c>
      <c r="C16" s="382">
        <f>D16*AA16</f>
        <v>0</v>
      </c>
      <c r="D16" s="306"/>
      <c r="E16" s="306"/>
      <c r="F16" s="240"/>
      <c r="G16" s="240"/>
      <c r="H16" s="240"/>
      <c r="I16" s="240"/>
      <c r="J16" s="425"/>
      <c r="K16" s="299"/>
      <c r="L16" s="300"/>
      <c r="M16" s="240"/>
      <c r="N16" s="425"/>
      <c r="O16" s="689">
        <f>P16*AA16</f>
        <v>0</v>
      </c>
      <c r="P16" s="306"/>
      <c r="Q16" s="306"/>
      <c r="R16" s="232"/>
      <c r="S16" s="232"/>
      <c r="T16" s="232"/>
      <c r="U16" s="232"/>
      <c r="V16" s="431"/>
      <c r="W16" s="301"/>
      <c r="X16" s="244"/>
      <c r="Y16" s="232"/>
      <c r="Z16" s="431"/>
      <c r="AA16" s="709">
        <f>($A20/SUM($A$19:$A$20))*'Energy data by fuel cycle'!$F$20</f>
        <v>40435200</v>
      </c>
      <c r="AB16" s="710">
        <f>'Energy data by fuel cycle'!$G$20</f>
        <v>90513883.044813275</v>
      </c>
      <c r="AD16" s="16" t="s">
        <v>654</v>
      </c>
      <c r="AE16" s="18">
        <f>G13*C13</f>
        <v>0</v>
      </c>
      <c r="AF16" s="18">
        <f>S13*O13</f>
        <v>0</v>
      </c>
    </row>
    <row r="17" spans="1:32" ht="15" customHeight="1">
      <c r="A17" s="245"/>
      <c r="B17" s="232"/>
      <c r="C17" s="232"/>
      <c r="D17" s="232"/>
      <c r="E17" s="232"/>
      <c r="F17" s="232"/>
      <c r="G17" s="232"/>
      <c r="H17" s="232"/>
      <c r="I17" s="244"/>
      <c r="J17" s="515"/>
      <c r="K17" s="244"/>
      <c r="L17" s="244"/>
      <c r="M17" s="244"/>
      <c r="N17" s="515"/>
      <c r="O17" s="244"/>
      <c r="P17" s="244"/>
      <c r="Q17" s="244"/>
      <c r="R17" s="244"/>
      <c r="S17" s="244"/>
      <c r="T17" s="244"/>
      <c r="U17" s="244"/>
      <c r="V17" s="515"/>
      <c r="W17" s="244"/>
      <c r="X17" s="244"/>
      <c r="Y17" s="232"/>
      <c r="Z17" s="431"/>
      <c r="AA17" s="232"/>
      <c r="AB17" s="232"/>
      <c r="AD17" s="16" t="s">
        <v>889</v>
      </c>
      <c r="AE17" s="18">
        <f>H13*C13</f>
        <v>0</v>
      </c>
      <c r="AF17" s="18">
        <f>T13*O13</f>
        <v>0</v>
      </c>
    </row>
    <row r="18" spans="1:32" ht="15" customHeight="1">
      <c r="A18" s="251" t="s">
        <v>414</v>
      </c>
      <c r="B18" s="232"/>
      <c r="C18" s="232"/>
      <c r="D18" s="232"/>
      <c r="E18" s="232"/>
      <c r="F18" s="232"/>
      <c r="G18" s="232"/>
      <c r="H18" s="232"/>
      <c r="I18" s="244"/>
      <c r="J18" s="515"/>
      <c r="K18" s="244"/>
      <c r="L18" s="244"/>
      <c r="M18" s="244"/>
      <c r="N18" s="515"/>
      <c r="O18" s="244"/>
      <c r="P18" s="244"/>
      <c r="Q18" s="244"/>
      <c r="R18" s="244"/>
      <c r="S18" s="244"/>
      <c r="T18" s="244"/>
      <c r="U18" s="244"/>
      <c r="V18" s="515"/>
      <c r="W18" s="244"/>
      <c r="X18" s="244"/>
      <c r="Y18" s="232"/>
      <c r="Z18" s="431"/>
      <c r="AA18" s="232"/>
      <c r="AB18" s="232"/>
      <c r="AD18" s="16" t="s">
        <v>890</v>
      </c>
      <c r="AE18" s="18">
        <f>I13*C13</f>
        <v>0</v>
      </c>
      <c r="AF18" s="18">
        <f>U13*O13</f>
        <v>0</v>
      </c>
    </row>
    <row r="19" spans="1:32" ht="15" customHeight="1">
      <c r="A19" s="232">
        <v>15250</v>
      </c>
      <c r="B19" s="232" t="s">
        <v>582</v>
      </c>
      <c r="C19" s="232"/>
      <c r="D19" s="246"/>
      <c r="E19" s="232"/>
      <c r="F19" s="232"/>
      <c r="G19" s="232"/>
      <c r="H19" s="232"/>
      <c r="I19" s="244"/>
      <c r="J19" s="515"/>
      <c r="K19" s="244"/>
      <c r="L19" s="244"/>
      <c r="M19" s="244"/>
      <c r="N19" s="515"/>
      <c r="O19" s="244"/>
      <c r="P19" s="244"/>
      <c r="Q19" s="244"/>
      <c r="R19" s="244"/>
      <c r="S19" s="244"/>
      <c r="T19" s="244"/>
      <c r="U19" s="244"/>
      <c r="V19" s="515"/>
      <c r="W19" s="244"/>
      <c r="X19" s="244"/>
      <c r="Y19" s="232"/>
      <c r="Z19" s="431"/>
      <c r="AA19" s="232"/>
      <c r="AB19" s="232"/>
    </row>
    <row r="20" spans="1:32" ht="15" customHeight="1">
      <c r="A20" s="232">
        <f>26482-15250</f>
        <v>11232</v>
      </c>
      <c r="B20" s="232" t="s">
        <v>583</v>
      </c>
      <c r="C20" s="232"/>
      <c r="D20" s="232"/>
      <c r="E20" s="232"/>
      <c r="F20" s="232"/>
      <c r="G20" s="232"/>
      <c r="H20" s="232"/>
      <c r="I20" s="244"/>
      <c r="J20" s="515"/>
      <c r="K20" s="244"/>
      <c r="L20" s="244"/>
      <c r="M20" s="244"/>
      <c r="N20" s="515"/>
      <c r="O20" s="244"/>
      <c r="P20" s="244"/>
      <c r="Q20" s="244"/>
      <c r="R20" s="244"/>
      <c r="S20" s="244"/>
      <c r="T20" s="244"/>
      <c r="U20" s="244"/>
      <c r="V20" s="515"/>
      <c r="W20" s="244"/>
      <c r="X20" s="244"/>
      <c r="Y20" s="232"/>
      <c r="Z20" s="431"/>
      <c r="AA20" s="232"/>
      <c r="AB20" s="232"/>
      <c r="AD20" s="16" t="s">
        <v>614</v>
      </c>
      <c r="AE20" s="419">
        <f>C15</f>
        <v>169190.55555555553</v>
      </c>
      <c r="AF20" s="419">
        <f>O15</f>
        <v>169190.55555555553</v>
      </c>
    </row>
    <row r="21" spans="1:32" ht="15" customHeight="1">
      <c r="I21" s="17"/>
      <c r="J21" s="514"/>
      <c r="K21" s="17"/>
      <c r="L21" s="17"/>
      <c r="M21" s="17"/>
      <c r="N21" s="514"/>
      <c r="O21" s="17"/>
      <c r="P21" s="17"/>
      <c r="Q21" s="17"/>
      <c r="R21" s="17"/>
      <c r="S21" s="17"/>
      <c r="T21" s="17"/>
      <c r="U21" s="17"/>
      <c r="V21" s="514"/>
      <c r="W21" s="17"/>
      <c r="X21" s="17"/>
      <c r="Z21" s="433"/>
      <c r="AD21" s="16" t="s">
        <v>82</v>
      </c>
    </row>
    <row r="22" spans="1:32" ht="15" customHeight="1">
      <c r="I22" s="17"/>
      <c r="J22" s="514"/>
      <c r="K22" s="17"/>
      <c r="L22" s="17"/>
      <c r="M22" s="17"/>
      <c r="N22" s="514"/>
      <c r="O22" s="17"/>
      <c r="P22" s="17"/>
      <c r="Q22" s="17"/>
      <c r="R22" s="17"/>
      <c r="S22" s="17"/>
      <c r="T22" s="17"/>
      <c r="U22" s="17"/>
      <c r="V22" s="514"/>
      <c r="W22" s="17"/>
      <c r="X22" s="17"/>
      <c r="Z22" s="433"/>
      <c r="AD22" s="16" t="s">
        <v>891</v>
      </c>
    </row>
    <row r="23" spans="1:32" ht="15" customHeight="1">
      <c r="I23" s="17"/>
      <c r="J23" s="514"/>
      <c r="K23" s="17"/>
      <c r="L23" s="17"/>
      <c r="M23" s="17"/>
      <c r="N23" s="514"/>
      <c r="O23" s="17"/>
      <c r="P23" s="17"/>
      <c r="Q23" s="17"/>
      <c r="R23" s="17"/>
      <c r="S23" s="17"/>
      <c r="T23" s="17"/>
      <c r="U23" s="17"/>
      <c r="V23" s="514"/>
      <c r="W23" s="17"/>
      <c r="X23" s="17"/>
      <c r="Z23" s="433"/>
      <c r="AD23" s="16" t="s">
        <v>892</v>
      </c>
    </row>
    <row r="24" spans="1:32" ht="15" customHeight="1">
      <c r="I24" s="17"/>
      <c r="J24" s="514"/>
      <c r="K24" s="17"/>
      <c r="L24" s="17"/>
      <c r="M24" s="17"/>
      <c r="N24" s="514"/>
      <c r="O24" s="17"/>
      <c r="P24" s="17"/>
      <c r="Q24" s="17"/>
      <c r="R24" s="17"/>
      <c r="S24" s="17"/>
      <c r="T24" s="17"/>
      <c r="U24" s="17"/>
      <c r="V24" s="514"/>
      <c r="W24" s="17"/>
      <c r="X24" s="17"/>
      <c r="Z24" s="433"/>
      <c r="AD24" s="16" t="s">
        <v>893</v>
      </c>
    </row>
    <row r="25" spans="1:32" ht="15" customHeight="1">
      <c r="I25" s="17"/>
      <c r="J25" s="514"/>
      <c r="K25" s="17"/>
      <c r="L25" s="17"/>
      <c r="M25" s="17"/>
      <c r="N25" s="514"/>
      <c r="O25" s="17"/>
      <c r="P25" s="17"/>
      <c r="Q25" s="17"/>
      <c r="R25" s="17"/>
      <c r="S25" s="17"/>
      <c r="T25" s="17"/>
      <c r="U25" s="17"/>
      <c r="V25" s="514"/>
      <c r="W25" s="17"/>
      <c r="X25" s="17"/>
      <c r="Z25" s="433"/>
    </row>
    <row r="26" spans="1:32" ht="15" customHeight="1">
      <c r="I26" s="17"/>
      <c r="J26" s="514"/>
      <c r="K26" s="17"/>
      <c r="L26" s="17"/>
      <c r="M26" s="17"/>
      <c r="N26" s="514"/>
      <c r="O26" s="17"/>
      <c r="P26" s="17"/>
      <c r="Q26" s="17"/>
      <c r="R26" s="17"/>
      <c r="S26" s="17"/>
      <c r="T26" s="17"/>
      <c r="U26" s="17"/>
      <c r="V26" s="514"/>
      <c r="W26" s="17"/>
      <c r="X26" s="17"/>
      <c r="Z26" s="433"/>
    </row>
    <row r="27" spans="1:32" ht="15" customHeight="1">
      <c r="I27" s="17"/>
      <c r="J27" s="514"/>
      <c r="K27" s="17"/>
      <c r="L27" s="17"/>
      <c r="M27" s="17"/>
      <c r="N27" s="514"/>
      <c r="O27" s="17"/>
      <c r="P27" s="17"/>
      <c r="Q27" s="17"/>
      <c r="R27" s="17"/>
      <c r="S27" s="17"/>
      <c r="T27" s="17"/>
      <c r="U27" s="17"/>
      <c r="V27" s="514"/>
      <c r="W27" s="17"/>
      <c r="X27" s="17"/>
      <c r="Z27" s="433"/>
    </row>
    <row r="28" spans="1:32" ht="15" customHeight="1">
      <c r="I28" s="17"/>
      <c r="J28" s="514"/>
      <c r="K28" s="17"/>
      <c r="L28" s="17"/>
      <c r="M28" s="17"/>
      <c r="N28" s="514"/>
      <c r="O28" s="17"/>
      <c r="P28" s="17"/>
      <c r="Q28" s="17"/>
      <c r="R28" s="17"/>
      <c r="S28" s="17"/>
      <c r="T28" s="17"/>
      <c r="U28" s="17"/>
      <c r="V28" s="514"/>
      <c r="W28" s="17"/>
      <c r="X28" s="17"/>
      <c r="Z28" s="433"/>
    </row>
    <row r="29" spans="1:32" ht="15" customHeight="1">
      <c r="I29" s="17"/>
      <c r="J29" s="514"/>
      <c r="K29" s="17"/>
      <c r="L29" s="17"/>
      <c r="M29" s="17"/>
      <c r="N29" s="514"/>
      <c r="O29" s="17"/>
      <c r="P29" s="17"/>
      <c r="Q29" s="17"/>
      <c r="R29" s="17"/>
      <c r="S29" s="17"/>
      <c r="T29" s="17"/>
      <c r="U29" s="17"/>
      <c r="V29" s="514"/>
      <c r="W29" s="17"/>
      <c r="X29" s="17"/>
      <c r="Z29" s="433"/>
    </row>
    <row r="30" spans="1:32" ht="15" customHeight="1">
      <c r="I30" s="17"/>
      <c r="J30" s="514"/>
      <c r="K30" s="17"/>
      <c r="L30" s="17"/>
      <c r="M30" s="17"/>
      <c r="N30" s="514"/>
      <c r="O30" s="17"/>
      <c r="P30" s="17"/>
      <c r="Q30" s="17"/>
      <c r="R30" s="17"/>
      <c r="S30" s="17"/>
      <c r="T30" s="17"/>
      <c r="U30" s="17"/>
      <c r="V30" s="514"/>
      <c r="W30" s="17"/>
      <c r="X30" s="17"/>
      <c r="Z30" s="433"/>
    </row>
    <row r="31" spans="1:32" ht="15" customHeight="1">
      <c r="I31" s="17"/>
      <c r="J31" s="514"/>
      <c r="K31" s="17"/>
      <c r="L31" s="17"/>
      <c r="M31" s="17"/>
      <c r="N31" s="514"/>
      <c r="O31" s="17"/>
      <c r="P31" s="17"/>
      <c r="Q31" s="17"/>
      <c r="R31" s="17"/>
      <c r="S31" s="17"/>
      <c r="T31" s="17"/>
      <c r="U31" s="17"/>
      <c r="V31" s="514"/>
      <c r="W31" s="17"/>
      <c r="X31" s="17"/>
      <c r="Z31" s="433"/>
    </row>
    <row r="32" spans="1:32" ht="15" customHeight="1">
      <c r="I32" s="17"/>
      <c r="J32" s="514"/>
      <c r="K32" s="17"/>
      <c r="L32" s="17"/>
      <c r="M32" s="17"/>
      <c r="N32" s="514"/>
      <c r="O32" s="17"/>
      <c r="P32" s="17"/>
      <c r="Q32" s="17"/>
      <c r="R32" s="17"/>
      <c r="S32" s="17"/>
      <c r="T32" s="17"/>
      <c r="U32" s="17"/>
      <c r="V32" s="514"/>
      <c r="W32" s="17"/>
      <c r="Z32" s="433"/>
    </row>
    <row r="33" spans="2:26" ht="15" customHeight="1">
      <c r="I33" s="17"/>
      <c r="J33" s="514"/>
      <c r="K33" s="17"/>
      <c r="L33" s="17"/>
      <c r="M33" s="17"/>
      <c r="N33" s="514"/>
      <c r="O33" s="17"/>
      <c r="P33" s="17"/>
      <c r="Q33" s="17"/>
      <c r="R33" s="17"/>
      <c r="S33" s="17"/>
      <c r="T33" s="17"/>
      <c r="U33" s="17"/>
      <c r="V33" s="514"/>
      <c r="W33" s="17"/>
      <c r="Z33" s="433"/>
    </row>
    <row r="34" spans="2:26" ht="15" customHeight="1">
      <c r="J34" s="433"/>
      <c r="N34" s="433"/>
    </row>
    <row r="35" spans="2:26" ht="15" customHeight="1">
      <c r="J35" s="433"/>
      <c r="N35" s="433"/>
      <c r="V35" s="433"/>
      <c r="Z35" s="433"/>
    </row>
    <row r="36" spans="2:26" ht="15" customHeight="1">
      <c r="J36" s="433"/>
      <c r="N36" s="433"/>
      <c r="V36" s="433"/>
      <c r="Z36" s="429"/>
    </row>
    <row r="37" spans="2:26" ht="15" customHeight="1">
      <c r="J37" s="433"/>
      <c r="N37" s="433"/>
      <c r="V37" s="433"/>
      <c r="Z37" s="433"/>
    </row>
    <row r="38" spans="2:26" ht="15" customHeight="1">
      <c r="J38" s="433"/>
      <c r="N38" s="433"/>
      <c r="V38" s="433"/>
      <c r="Z38" s="433"/>
    </row>
    <row r="39" spans="2:26" ht="15" customHeight="1">
      <c r="J39" s="433"/>
      <c r="N39" s="433"/>
      <c r="V39" s="433"/>
      <c r="Z39" s="433"/>
    </row>
    <row r="40" spans="2:26" ht="15" customHeight="1"/>
    <row r="41" spans="2:26" ht="15" customHeight="1">
      <c r="B41" s="14"/>
    </row>
    <row r="42" spans="2:26" ht="15" customHeight="1"/>
    <row r="43" spans="2:26" ht="15" customHeight="1"/>
    <row r="44" spans="2:26" ht="15" customHeight="1"/>
    <row r="45" spans="2:26" ht="15" customHeight="1"/>
    <row r="46" spans="2:26" ht="15" customHeight="1"/>
    <row r="47" spans="2:26" ht="15" customHeight="1"/>
    <row r="48" spans="2: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9B19"/>
    <pageSetUpPr fitToPage="1"/>
  </sheetPr>
  <dimension ref="A1:AF65"/>
  <sheetViews>
    <sheetView workbookViewId="0">
      <selection activeCell="W25" sqref="W25"/>
    </sheetView>
  </sheetViews>
  <sheetFormatPr baseColWidth="10" defaultRowHeight="13"/>
  <cols>
    <col min="1" max="1" width="15.83203125" style="16" customWidth="1"/>
    <col min="2" max="2" width="30.83203125" style="16" customWidth="1"/>
    <col min="3" max="9" width="10.83203125" style="16"/>
    <col min="10" max="10" width="10.83203125" style="16" hidden="1" customWidth="1"/>
    <col min="11" max="13" width="10.83203125" style="16"/>
    <col min="14" max="14" width="10.83203125" style="16" hidden="1" customWidth="1"/>
    <col min="15" max="21" width="10.83203125" style="16"/>
    <col min="22" max="22" width="10.83203125" style="16" hidden="1" customWidth="1"/>
    <col min="23" max="25" width="10.83203125" style="16"/>
    <col min="26" max="26" width="10.83203125" style="16" hidden="1" customWidth="1"/>
    <col min="27" max="29" width="10.83203125" style="16"/>
    <col min="30" max="30" width="0" style="16" hidden="1" customWidth="1"/>
    <col min="31" max="32" width="11.1640625" style="16" hidden="1" customWidth="1"/>
    <col min="33" max="16384" width="10.83203125" style="16"/>
  </cols>
  <sheetData>
    <row r="1" spans="1:32" ht="30">
      <c r="A1" s="286" t="s">
        <v>584</v>
      </c>
      <c r="B1" s="287"/>
      <c r="C1" s="411"/>
      <c r="D1" s="411"/>
      <c r="E1" s="288"/>
      <c r="F1" s="287"/>
      <c r="G1" s="287"/>
      <c r="H1" s="287"/>
      <c r="I1" s="287"/>
      <c r="J1" s="287"/>
      <c r="K1" s="287"/>
      <c r="L1" s="287"/>
      <c r="M1" s="287"/>
      <c r="N1" s="287"/>
      <c r="O1" s="287"/>
      <c r="P1" s="287"/>
      <c r="Q1" s="411"/>
      <c r="R1" s="411"/>
      <c r="S1" s="411"/>
      <c r="T1" s="287"/>
      <c r="U1" s="287"/>
      <c r="V1" s="287"/>
      <c r="W1" s="287"/>
      <c r="X1" s="287"/>
      <c r="Y1" s="287"/>
      <c r="Z1" s="287"/>
      <c r="AA1" s="287"/>
      <c r="AB1" s="287"/>
    </row>
    <row r="2" spans="1:32" ht="30">
      <c r="A2" s="286"/>
      <c r="B2" s="287"/>
      <c r="C2" s="287"/>
      <c r="D2" s="287"/>
      <c r="E2" s="288"/>
      <c r="F2" s="287"/>
      <c r="G2" s="287"/>
      <c r="H2" s="287"/>
      <c r="I2" s="287"/>
      <c r="J2" s="287"/>
      <c r="K2" s="287"/>
      <c r="L2" s="287"/>
      <c r="M2" s="287"/>
      <c r="N2" s="287"/>
      <c r="O2" s="287"/>
      <c r="P2" s="287"/>
      <c r="Q2" s="287"/>
      <c r="R2" s="287"/>
      <c r="S2" s="287"/>
      <c r="T2" s="287"/>
      <c r="U2" s="287"/>
      <c r="V2" s="287"/>
      <c r="W2" s="287"/>
      <c r="X2" s="287"/>
      <c r="Y2" s="287"/>
      <c r="Z2" s="287"/>
      <c r="AA2" s="287"/>
      <c r="AB2" s="287"/>
    </row>
    <row r="3" spans="1:32" ht="30">
      <c r="A3" s="286"/>
      <c r="B3" s="287"/>
      <c r="C3" s="287"/>
      <c r="D3" s="287"/>
      <c r="E3" s="288"/>
      <c r="F3" s="287"/>
      <c r="G3" s="287"/>
      <c r="H3" s="287"/>
      <c r="I3" s="287"/>
      <c r="J3" s="287"/>
      <c r="K3" s="287"/>
      <c r="L3" s="287"/>
      <c r="M3" s="287"/>
      <c r="N3" s="287"/>
      <c r="O3" s="287"/>
      <c r="P3" s="287"/>
      <c r="Q3" s="287"/>
      <c r="R3" s="287"/>
      <c r="S3" s="287"/>
      <c r="T3" s="287"/>
      <c r="U3" s="287"/>
      <c r="V3" s="287"/>
      <c r="W3" s="287"/>
      <c r="X3" s="287"/>
      <c r="Y3" s="287"/>
      <c r="Z3" s="287"/>
      <c r="AA3" s="287"/>
      <c r="AB3" s="287"/>
    </row>
    <row r="4" spans="1:32" ht="30">
      <c r="A4" s="286"/>
      <c r="B4" s="287"/>
      <c r="C4" s="287"/>
      <c r="D4" s="287"/>
      <c r="E4" s="288"/>
      <c r="F4" s="287"/>
      <c r="G4" s="287"/>
      <c r="H4" s="287"/>
      <c r="I4" s="287"/>
      <c r="J4" s="287"/>
      <c r="K4" s="287"/>
      <c r="L4" s="287"/>
      <c r="M4" s="287"/>
      <c r="N4" s="287"/>
      <c r="O4" s="287"/>
      <c r="P4" s="287"/>
      <c r="Q4" s="287"/>
      <c r="R4" s="287"/>
      <c r="S4" s="287"/>
      <c r="T4" s="287"/>
      <c r="U4" s="287"/>
      <c r="V4" s="287"/>
      <c r="W4" s="287"/>
      <c r="X4" s="287"/>
      <c r="Y4" s="287"/>
      <c r="Z4" s="287"/>
      <c r="AA4" s="287"/>
      <c r="AB4" s="287"/>
    </row>
    <row r="5" spans="1:32" ht="30">
      <c r="A5" s="286"/>
      <c r="B5" s="287"/>
      <c r="C5" s="287"/>
      <c r="D5" s="287"/>
      <c r="E5" s="288"/>
      <c r="F5" s="287"/>
      <c r="G5" s="287"/>
      <c r="H5" s="287"/>
      <c r="I5" s="287"/>
      <c r="J5" s="287"/>
      <c r="K5" s="287"/>
      <c r="L5" s="287"/>
      <c r="M5" s="287"/>
      <c r="N5" s="287"/>
      <c r="O5" s="287"/>
      <c r="P5" s="287"/>
      <c r="Q5" s="287"/>
      <c r="R5" s="287"/>
      <c r="S5" s="287"/>
      <c r="T5" s="287"/>
      <c r="U5" s="287"/>
      <c r="V5" s="287"/>
      <c r="W5" s="287"/>
      <c r="X5" s="287"/>
      <c r="Y5" s="287"/>
      <c r="Z5" s="287"/>
      <c r="AA5" s="287"/>
      <c r="AB5" s="287"/>
    </row>
    <row r="6" spans="1:32" ht="30">
      <c r="A6" s="286"/>
      <c r="B6" s="287"/>
      <c r="C6" s="287"/>
      <c r="D6" s="287"/>
      <c r="E6" s="288"/>
      <c r="F6" s="287"/>
      <c r="G6" s="287"/>
      <c r="H6" s="287"/>
      <c r="I6" s="287"/>
      <c r="J6" s="287"/>
      <c r="K6" s="287"/>
      <c r="L6" s="287"/>
      <c r="M6" s="287"/>
      <c r="N6" s="287"/>
      <c r="O6" s="287"/>
      <c r="P6" s="287"/>
      <c r="Q6" s="287"/>
      <c r="R6" s="287"/>
      <c r="S6" s="287"/>
      <c r="T6" s="287"/>
      <c r="U6" s="287"/>
      <c r="V6" s="287"/>
      <c r="W6" s="287"/>
      <c r="X6" s="287"/>
      <c r="Y6" s="287"/>
      <c r="Z6" s="287"/>
      <c r="AA6" s="287"/>
      <c r="AB6" s="287"/>
    </row>
    <row r="7" spans="1:32" ht="30">
      <c r="A7" s="286"/>
      <c r="B7" s="287"/>
      <c r="C7" s="287"/>
      <c r="D7" s="287"/>
      <c r="E7" s="288"/>
      <c r="F7" s="287"/>
      <c r="G7" s="287"/>
      <c r="H7" s="287"/>
      <c r="I7" s="287"/>
      <c r="J7" s="287"/>
      <c r="K7" s="287"/>
      <c r="L7" s="287"/>
      <c r="M7" s="287"/>
      <c r="N7" s="287"/>
      <c r="O7" s="287"/>
      <c r="P7" s="287"/>
      <c r="Q7" s="287"/>
      <c r="R7" s="287"/>
      <c r="S7" s="287"/>
      <c r="T7" s="287"/>
      <c r="U7" s="287"/>
      <c r="V7" s="287"/>
      <c r="W7" s="287"/>
      <c r="X7" s="287"/>
      <c r="Y7" s="287"/>
      <c r="Z7" s="287"/>
      <c r="AA7" s="287"/>
      <c r="AB7" s="287"/>
    </row>
    <row r="8" spans="1:32" ht="30">
      <c r="A8" s="286"/>
      <c r="B8" s="287"/>
      <c r="C8" s="287"/>
      <c r="D8" s="287"/>
      <c r="E8" s="288"/>
      <c r="F8" s="287"/>
      <c r="G8" s="287"/>
      <c r="H8" s="287"/>
      <c r="I8" s="287"/>
      <c r="J8" s="287"/>
      <c r="K8" s="287"/>
      <c r="L8" s="287"/>
      <c r="M8" s="287"/>
      <c r="N8" s="287"/>
      <c r="O8" s="287"/>
      <c r="P8" s="287"/>
      <c r="Q8" s="287"/>
      <c r="R8" s="287"/>
      <c r="S8" s="287"/>
      <c r="T8" s="287"/>
      <c r="U8" s="287"/>
      <c r="V8" s="287"/>
      <c r="W8" s="287"/>
      <c r="X8" s="287"/>
      <c r="Y8" s="287"/>
      <c r="Z8" s="287"/>
      <c r="AA8" s="287"/>
      <c r="AB8" s="287"/>
    </row>
    <row r="9" spans="1:32" ht="31" thickBot="1">
      <c r="A9" s="286"/>
      <c r="B9" s="287"/>
      <c r="C9" s="287"/>
      <c r="D9" s="287"/>
      <c r="E9" s="288"/>
      <c r="F9" s="287"/>
      <c r="G9" s="287"/>
      <c r="H9" s="287"/>
      <c r="I9" s="287"/>
      <c r="J9" s="287"/>
      <c r="K9" s="287"/>
      <c r="L9" s="287"/>
      <c r="M9" s="287"/>
      <c r="N9" s="287"/>
      <c r="O9" s="287"/>
      <c r="P9" s="287"/>
      <c r="Q9" s="287"/>
      <c r="R9" s="287"/>
      <c r="S9" s="287"/>
      <c r="T9" s="287"/>
      <c r="U9" s="287"/>
      <c r="V9" s="287"/>
      <c r="W9" s="287"/>
      <c r="X9" s="287"/>
      <c r="Y9" s="287"/>
      <c r="Z9" s="287"/>
      <c r="AA9" s="287"/>
      <c r="AB9" s="287"/>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2170506.3047532965</v>
      </c>
      <c r="AF11" s="18">
        <f>X13*O13</f>
        <v>7663100.6580862077</v>
      </c>
    </row>
    <row r="12" spans="1:32" ht="15" customHeight="1" thickBot="1">
      <c r="A12" s="268"/>
      <c r="B12" s="268" t="s">
        <v>48</v>
      </c>
      <c r="C12" s="269">
        <f>SUM(C15:C18)</f>
        <v>8230602.8163088858</v>
      </c>
      <c r="D12" s="269"/>
      <c r="E12" s="269">
        <f>SUM(E15:E18)</f>
        <v>0.98650536114099996</v>
      </c>
      <c r="F12" s="270"/>
      <c r="G12" s="270"/>
      <c r="H12" s="270"/>
      <c r="I12" s="270"/>
      <c r="J12" s="270"/>
      <c r="K12" s="501"/>
      <c r="L12" s="270"/>
      <c r="M12" s="270"/>
      <c r="N12" s="270"/>
      <c r="O12" s="276">
        <f>SUM(O15:O18)</f>
        <v>13740417.870376095</v>
      </c>
      <c r="P12" s="268"/>
      <c r="Q12" s="269">
        <f>SUM(Q15:Q18)</f>
        <v>1.646901957968921</v>
      </c>
      <c r="R12" s="270"/>
      <c r="S12" s="270"/>
      <c r="T12" s="270"/>
      <c r="U12" s="270"/>
      <c r="V12" s="270"/>
      <c r="W12" s="501"/>
      <c r="X12" s="270"/>
      <c r="Y12" s="270"/>
      <c r="Z12" s="270"/>
      <c r="AA12" s="235"/>
      <c r="AB12" s="236"/>
      <c r="AD12" s="16" t="s">
        <v>887</v>
      </c>
      <c r="AE12" s="18">
        <f>K13*C13</f>
        <v>6060096.5115555897</v>
      </c>
      <c r="AF12" s="18">
        <f>W13*O13</f>
        <v>6077317.2122898865</v>
      </c>
    </row>
    <row r="13" spans="1:32" ht="15" customHeight="1" thickTop="1" thickBot="1">
      <c r="A13" s="271"/>
      <c r="B13" s="271" t="s">
        <v>870</v>
      </c>
      <c r="C13" s="272">
        <f>SUM(C15:C18)</f>
        <v>8230602.8163088858</v>
      </c>
      <c r="D13" s="272"/>
      <c r="E13" s="272">
        <f>SUM(E15:E18)</f>
        <v>0.98650536114099996</v>
      </c>
      <c r="F13" s="282">
        <f>SUMPRODUCT(F15:F18,$C$15:$C$18)/SUM($C$15:$C$18)</f>
        <v>0.97502656701937662</v>
      </c>
      <c r="G13" s="282">
        <f t="shared" ref="G13:M13" si="0">SUMPRODUCT(G15:G18,$C$15:$C$18)/SUM($C$15:$C$18)</f>
        <v>2.4973432980623374E-2</v>
      </c>
      <c r="H13" s="282">
        <f t="shared" si="0"/>
        <v>0</v>
      </c>
      <c r="I13" s="282">
        <f t="shared" si="0"/>
        <v>0</v>
      </c>
      <c r="J13" s="430">
        <f>SUM(F13:I13)</f>
        <v>1</v>
      </c>
      <c r="K13" s="393">
        <f t="shared" si="0"/>
        <v>0.73628829464927503</v>
      </c>
      <c r="L13" s="282">
        <f>SUMPRODUCT(L15:L18,$C$15:$C$18)/SUM($C$15:$C$18)</f>
        <v>0.26371170535072502</v>
      </c>
      <c r="M13" s="282">
        <f t="shared" si="0"/>
        <v>0</v>
      </c>
      <c r="N13" s="430">
        <f>SUM(K13:M13)</f>
        <v>1</v>
      </c>
      <c r="O13" s="277">
        <f>SUM(O15:O18)</f>
        <v>13740417.870376095</v>
      </c>
      <c r="P13" s="271"/>
      <c r="Q13" s="272">
        <f>SUM(Q15:Q18)</f>
        <v>1.646901957968921</v>
      </c>
      <c r="R13" s="282">
        <f>SUMPRODUCT(R15:R18,$O$15:$O$18)/SUM($O$15:$O$18)</f>
        <v>0.9850407455026261</v>
      </c>
      <c r="S13" s="282">
        <f t="shared" ref="S13:Y13" si="1">SUMPRODUCT(S15:S18,$O$15:$O$18)/SUM($O$15:$O$18)</f>
        <v>1.4959254497373875E-2</v>
      </c>
      <c r="T13" s="282">
        <f t="shared" si="1"/>
        <v>0</v>
      </c>
      <c r="U13" s="282">
        <f t="shared" si="1"/>
        <v>0</v>
      </c>
      <c r="V13" s="430">
        <f>SUM(R13:U13)</f>
        <v>1</v>
      </c>
      <c r="W13" s="393">
        <f t="shared" si="1"/>
        <v>0.44229493379472756</v>
      </c>
      <c r="X13" s="282">
        <f>SUMPRODUCT(X15:X18,$O$15:$O$18)/SUM($O$15:$O$18)</f>
        <v>0.55770506620527238</v>
      </c>
      <c r="Y13" s="282">
        <f t="shared" si="1"/>
        <v>0</v>
      </c>
      <c r="Z13" s="430">
        <f>SUM(W13:Y13)</f>
        <v>1</v>
      </c>
      <c r="AA13" s="702"/>
      <c r="AB13" s="703"/>
      <c r="AD13" s="16" t="s">
        <v>888</v>
      </c>
      <c r="AE13" s="18">
        <f>M13*C13</f>
        <v>0</v>
      </c>
      <c r="AF13" s="18">
        <f>Y13*O13</f>
        <v>0</v>
      </c>
    </row>
    <row r="14" spans="1:32" ht="15" customHeight="1" thickTop="1" thickBot="1">
      <c r="A14" s="224" t="s">
        <v>591</v>
      </c>
      <c r="B14" s="232"/>
      <c r="C14" s="232"/>
      <c r="D14" s="232"/>
      <c r="E14" s="232"/>
      <c r="F14" s="240"/>
      <c r="G14" s="240"/>
      <c r="H14" s="240"/>
      <c r="I14" s="240"/>
      <c r="J14" s="240"/>
      <c r="K14" s="299"/>
      <c r="L14" s="300"/>
      <c r="M14" s="240"/>
      <c r="N14" s="240"/>
      <c r="O14" s="684"/>
      <c r="P14" s="232"/>
      <c r="Q14" s="232"/>
      <c r="R14" s="240"/>
      <c r="S14" s="240"/>
      <c r="T14" s="240"/>
      <c r="U14" s="240"/>
      <c r="V14" s="240"/>
      <c r="W14" s="299"/>
      <c r="X14" s="300"/>
      <c r="Y14" s="240"/>
      <c r="Z14" s="240"/>
      <c r="AA14" s="704"/>
      <c r="AB14" s="705"/>
      <c r="AE14" s="18"/>
      <c r="AF14" s="18"/>
    </row>
    <row r="15" spans="1:32" ht="15" customHeight="1" thickTop="1" thickBot="1">
      <c r="A15" s="223"/>
      <c r="B15" s="232" t="s">
        <v>585</v>
      </c>
      <c r="C15" s="243">
        <f>D15*AA15</f>
        <v>175752</v>
      </c>
      <c r="D15" s="243">
        <v>0.02</v>
      </c>
      <c r="E15" s="243">
        <f>C15/AB15</f>
        <v>2.1065320985687842E-2</v>
      </c>
      <c r="F15" s="240">
        <v>1</v>
      </c>
      <c r="G15" s="240"/>
      <c r="H15" s="240"/>
      <c r="I15" s="240"/>
      <c r="J15" s="430">
        <f>SUM(F15:I15)</f>
        <v>1</v>
      </c>
      <c r="K15" s="299">
        <v>1</v>
      </c>
      <c r="L15" s="300"/>
      <c r="M15" s="240"/>
      <c r="N15" s="430">
        <f>SUM(K15:M15)</f>
        <v>1</v>
      </c>
      <c r="O15" s="677">
        <f>P15*AA15</f>
        <v>175752</v>
      </c>
      <c r="P15" s="243">
        <f>D15</f>
        <v>0.02</v>
      </c>
      <c r="Q15" s="243">
        <f>O15/AB15</f>
        <v>2.1065320985687842E-2</v>
      </c>
      <c r="R15" s="240">
        <v>1</v>
      </c>
      <c r="S15" s="240"/>
      <c r="T15" s="240"/>
      <c r="U15" s="240"/>
      <c r="V15" s="430">
        <f>SUM(R15:U15)</f>
        <v>1</v>
      </c>
      <c r="W15" s="299">
        <v>1</v>
      </c>
      <c r="X15" s="300"/>
      <c r="Y15" s="240"/>
      <c r="Z15" s="430">
        <f>SUM(W15:Y15)</f>
        <v>1</v>
      </c>
      <c r="AA15" s="706">
        <f>'Energy data by fuel cycle'!$F$21</f>
        <v>8787600</v>
      </c>
      <c r="AB15" s="707">
        <f>'Energy data by fuel cycle'!$G$21</f>
        <v>8343191.1680533644</v>
      </c>
      <c r="AD15" s="16" t="s">
        <v>267</v>
      </c>
      <c r="AE15" s="18">
        <f>F13*C13</f>
        <v>8025056.4084856659</v>
      </c>
      <c r="AF15" s="18">
        <f>R13*O13</f>
        <v>13534871.462552875</v>
      </c>
    </row>
    <row r="16" spans="1:32" ht="15" customHeight="1" thickTop="1">
      <c r="A16" s="223"/>
      <c r="B16" s="232"/>
      <c r="C16" s="232"/>
      <c r="D16" s="232"/>
      <c r="E16" s="232"/>
      <c r="F16" s="240"/>
      <c r="G16" s="240"/>
      <c r="H16" s="240"/>
      <c r="I16" s="240"/>
      <c r="J16" s="425"/>
      <c r="K16" s="299"/>
      <c r="L16" s="300"/>
      <c r="M16" s="240"/>
      <c r="N16" s="425"/>
      <c r="O16" s="680"/>
      <c r="P16" s="232"/>
      <c r="Q16" s="232"/>
      <c r="R16" s="240"/>
      <c r="S16" s="240"/>
      <c r="T16" s="240"/>
      <c r="U16" s="240"/>
      <c r="V16" s="425"/>
      <c r="W16" s="299"/>
      <c r="X16" s="300"/>
      <c r="Y16" s="240"/>
      <c r="Z16" s="425"/>
      <c r="AA16" s="301"/>
      <c r="AB16" s="708"/>
      <c r="AD16" s="16" t="s">
        <v>654</v>
      </c>
      <c r="AE16" s="18">
        <f>G13*C13</f>
        <v>205546.40782321995</v>
      </c>
      <c r="AF16" s="18">
        <f>S13*O13</f>
        <v>205546.40782321995</v>
      </c>
    </row>
    <row r="17" spans="1:32" ht="15" customHeight="1" thickBot="1">
      <c r="A17" s="222" t="s">
        <v>68</v>
      </c>
      <c r="B17" s="232"/>
      <c r="C17" s="232"/>
      <c r="D17" s="232"/>
      <c r="E17" s="232"/>
      <c r="F17" s="240"/>
      <c r="G17" s="240"/>
      <c r="H17" s="240"/>
      <c r="I17" s="240"/>
      <c r="J17" s="425"/>
      <c r="K17" s="299"/>
      <c r="L17" s="300"/>
      <c r="M17" s="240"/>
      <c r="N17" s="425"/>
      <c r="O17" s="680"/>
      <c r="P17" s="232"/>
      <c r="Q17" s="232"/>
      <c r="R17" s="240"/>
      <c r="S17" s="240"/>
      <c r="T17" s="240"/>
      <c r="U17" s="240"/>
      <c r="V17" s="425"/>
      <c r="W17" s="299"/>
      <c r="X17" s="300"/>
      <c r="Y17" s="240"/>
      <c r="Z17" s="425"/>
      <c r="AA17" s="301"/>
      <c r="AB17" s="708"/>
      <c r="AD17" s="16" t="s">
        <v>889</v>
      </c>
      <c r="AE17" s="18">
        <f>H13*C13</f>
        <v>0</v>
      </c>
      <c r="AF17" s="18">
        <f>T13*O13</f>
        <v>0</v>
      </c>
    </row>
    <row r="18" spans="1:32" ht="15" customHeight="1" thickTop="1" thickBot="1">
      <c r="A18" s="232"/>
      <c r="B18" s="232" t="s">
        <v>487</v>
      </c>
      <c r="C18" s="243">
        <f>'Absolute Volume'!$K$278</f>
        <v>8054850.8163088858</v>
      </c>
      <c r="D18" s="243">
        <f>C18/AA18</f>
        <v>0.91661555103883718</v>
      </c>
      <c r="E18" s="243">
        <f>C18/AB18</f>
        <v>0.96544004015531215</v>
      </c>
      <c r="F18" s="240">
        <f>SUM('Absolute Volume'!$K$283,'Absolute Volume'!$K$279)/$C$18</f>
        <v>0.97448166173269846</v>
      </c>
      <c r="G18" s="240">
        <f>SUM('Absolute Volume'!$K$284,'Absolute Volume'!$K$280)/$C$18</f>
        <v>2.5518338267301523E-2</v>
      </c>
      <c r="H18" s="240">
        <v>0</v>
      </c>
      <c r="I18" s="240">
        <v>0</v>
      </c>
      <c r="J18" s="430">
        <f>SUM(F18:I18)</f>
        <v>1</v>
      </c>
      <c r="K18" s="299">
        <f>SUM('Absolute Volume'!$K$279:$K$282)/C18</f>
        <v>0.73053426385519016</v>
      </c>
      <c r="L18" s="300">
        <f>SUM('Absolute Volume'!$K$283:$K$286)/C18</f>
        <v>0.26946573614480984</v>
      </c>
      <c r="M18" s="240">
        <v>0</v>
      </c>
      <c r="N18" s="430">
        <f>SUM(K18:M18)</f>
        <v>1</v>
      </c>
      <c r="O18" s="677">
        <f>'Absolute Volume'!$L$278</f>
        <v>13564665.870376095</v>
      </c>
      <c r="P18" s="243">
        <f>O18/AA18</f>
        <v>1.5436143964650297</v>
      </c>
      <c r="Q18" s="243">
        <f>O18/AB18</f>
        <v>1.6258366369832331</v>
      </c>
      <c r="R18" s="240">
        <f>SUM('Absolute Volume'!$L$283,'Absolute Volume'!$L$279)/$O$18</f>
        <v>0.98484692437046217</v>
      </c>
      <c r="S18" s="240">
        <f>SUM('Absolute Volume'!$L$284,'Absolute Volume'!$L$280)/$O$18</f>
        <v>1.5153075629537858E-2</v>
      </c>
      <c r="T18" s="240">
        <v>0</v>
      </c>
      <c r="U18" s="240">
        <v>0</v>
      </c>
      <c r="V18" s="430">
        <f>SUM(R18:U18)</f>
        <v>1</v>
      </c>
      <c r="W18" s="299">
        <f>SUM('Absolute Volume'!$L$279:$L$282)/O18</f>
        <v>0.43506897027064473</v>
      </c>
      <c r="X18" s="300">
        <f>SUM('Absolute Volume'!$L$283:$L$286)/O18</f>
        <v>0.56493102972935527</v>
      </c>
      <c r="Y18" s="240">
        <v>0</v>
      </c>
      <c r="Z18" s="430">
        <f>SUM(W18:Y18)</f>
        <v>1</v>
      </c>
      <c r="AA18" s="709">
        <f>'Energy data by fuel cycle'!$F$21</f>
        <v>8787600</v>
      </c>
      <c r="AB18" s="710">
        <f>'Energy data by fuel cycle'!$G$21</f>
        <v>8343191.1680533644</v>
      </c>
      <c r="AD18" s="16" t="s">
        <v>890</v>
      </c>
      <c r="AE18" s="18">
        <f>I13*C13</f>
        <v>0</v>
      </c>
      <c r="AF18" s="18">
        <f>U13*O13</f>
        <v>0</v>
      </c>
    </row>
    <row r="19" spans="1:32" ht="15" customHeight="1" thickTop="1">
      <c r="I19" s="17"/>
      <c r="J19" s="514"/>
      <c r="K19" s="17"/>
      <c r="L19" s="17"/>
      <c r="M19" s="17"/>
      <c r="N19" s="514"/>
      <c r="O19" s="17"/>
      <c r="P19" s="17"/>
      <c r="Q19" s="17"/>
      <c r="R19" s="17"/>
      <c r="S19" s="17"/>
      <c r="T19" s="17"/>
      <c r="U19" s="17"/>
      <c r="V19" s="514"/>
      <c r="W19" s="17"/>
      <c r="X19" s="17"/>
      <c r="Z19" s="433"/>
    </row>
    <row r="20" spans="1:32" ht="15" customHeight="1">
      <c r="I20" s="17"/>
      <c r="J20" s="514"/>
      <c r="K20" s="17"/>
      <c r="L20" s="17"/>
      <c r="M20" s="17"/>
      <c r="N20" s="514"/>
      <c r="O20" s="17"/>
      <c r="P20" s="17"/>
      <c r="Q20" s="17"/>
      <c r="R20" s="17"/>
      <c r="S20" s="17"/>
      <c r="T20" s="17"/>
      <c r="U20" s="17"/>
      <c r="V20" s="514"/>
      <c r="W20" s="17"/>
      <c r="X20" s="17"/>
      <c r="Z20" s="433"/>
      <c r="AD20" s="16" t="s">
        <v>614</v>
      </c>
      <c r="AE20" s="419">
        <f>C15</f>
        <v>175752</v>
      </c>
      <c r="AF20" s="419">
        <f>O15</f>
        <v>175752</v>
      </c>
    </row>
    <row r="21" spans="1:32" ht="15" customHeight="1">
      <c r="I21" s="17"/>
      <c r="J21" s="514"/>
      <c r="K21" s="17"/>
      <c r="L21" s="17"/>
      <c r="M21" s="17"/>
      <c r="N21" s="514"/>
      <c r="O21" s="17"/>
      <c r="P21" s="17"/>
      <c r="Q21" s="17"/>
      <c r="R21" s="17"/>
      <c r="S21" s="17"/>
      <c r="T21" s="17"/>
      <c r="U21" s="17"/>
      <c r="V21" s="514"/>
      <c r="W21" s="17"/>
      <c r="X21" s="17"/>
      <c r="Z21" s="433"/>
      <c r="AD21" s="16" t="s">
        <v>82</v>
      </c>
    </row>
    <row r="22" spans="1:32" ht="15" customHeight="1">
      <c r="D22" s="34"/>
      <c r="I22" s="17"/>
      <c r="J22" s="514"/>
      <c r="K22" s="17"/>
      <c r="L22" s="17"/>
      <c r="M22" s="17"/>
      <c r="N22" s="514"/>
      <c r="O22" s="17"/>
      <c r="P22" s="17"/>
      <c r="Q22" s="17"/>
      <c r="R22" s="17"/>
      <c r="S22" s="17"/>
      <c r="T22" s="17"/>
      <c r="U22" s="17"/>
      <c r="V22" s="514"/>
      <c r="W22" s="17"/>
      <c r="X22" s="17"/>
      <c r="Z22" s="433"/>
      <c r="AD22" s="16" t="s">
        <v>891</v>
      </c>
    </row>
    <row r="23" spans="1:32" ht="15" customHeight="1">
      <c r="I23" s="17"/>
      <c r="J23" s="514"/>
      <c r="K23" s="17"/>
      <c r="L23" s="17"/>
      <c r="M23" s="17"/>
      <c r="N23" s="514"/>
      <c r="O23" s="17"/>
      <c r="P23" s="17"/>
      <c r="Q23" s="17"/>
      <c r="R23" s="17"/>
      <c r="S23" s="17"/>
      <c r="T23" s="17"/>
      <c r="U23" s="17"/>
      <c r="V23" s="514"/>
      <c r="W23" s="17"/>
      <c r="X23" s="17"/>
      <c r="Z23" s="433"/>
      <c r="AD23" s="16" t="s">
        <v>892</v>
      </c>
      <c r="AE23" s="419">
        <f>C18</f>
        <v>8054850.8163088858</v>
      </c>
      <c r="AF23" s="419">
        <f>O18</f>
        <v>13564665.870376095</v>
      </c>
    </row>
    <row r="24" spans="1:32" ht="15" customHeight="1">
      <c r="I24" s="17"/>
      <c r="J24" s="514"/>
      <c r="K24" s="17"/>
      <c r="L24" s="17"/>
      <c r="M24" s="17"/>
      <c r="N24" s="514"/>
      <c r="O24" s="17"/>
      <c r="P24" s="17"/>
      <c r="Q24" s="17"/>
      <c r="R24" s="17"/>
      <c r="S24" s="17"/>
      <c r="T24" s="17"/>
      <c r="U24" s="17"/>
      <c r="V24" s="514"/>
      <c r="W24" s="17"/>
      <c r="X24" s="17"/>
      <c r="Z24" s="433"/>
      <c r="AD24" s="16" t="s">
        <v>893</v>
      </c>
    </row>
    <row r="25" spans="1:32" ht="15" customHeight="1">
      <c r="I25" s="17"/>
      <c r="J25" s="514"/>
      <c r="K25" s="17"/>
      <c r="L25" s="17"/>
      <c r="M25" s="17"/>
      <c r="N25" s="514"/>
      <c r="O25" s="17"/>
      <c r="P25" s="17"/>
      <c r="Q25" s="17"/>
      <c r="R25" s="17"/>
      <c r="S25" s="17"/>
      <c r="T25" s="17"/>
      <c r="U25" s="17"/>
      <c r="V25" s="514"/>
      <c r="W25" s="17"/>
      <c r="X25" s="17"/>
      <c r="Z25" s="433"/>
    </row>
    <row r="26" spans="1:32" ht="15" customHeight="1">
      <c r="I26" s="17"/>
      <c r="J26" s="514"/>
      <c r="K26" s="17"/>
      <c r="L26" s="17"/>
      <c r="M26" s="17"/>
      <c r="N26" s="514"/>
      <c r="O26" s="17"/>
      <c r="P26" s="17"/>
      <c r="Q26" s="17"/>
      <c r="R26" s="17"/>
      <c r="S26" s="17"/>
      <c r="T26" s="17"/>
      <c r="U26" s="17"/>
      <c r="V26" s="514"/>
      <c r="W26" s="17"/>
      <c r="X26" s="17"/>
      <c r="Z26" s="433"/>
    </row>
    <row r="27" spans="1:32" ht="15" customHeight="1">
      <c r="B27" s="35"/>
      <c r="I27" s="17"/>
      <c r="J27" s="514"/>
      <c r="K27" s="17"/>
      <c r="L27" s="17"/>
      <c r="M27" s="17"/>
      <c r="N27" s="514"/>
      <c r="O27" s="17"/>
      <c r="P27" s="17"/>
      <c r="Q27" s="17"/>
      <c r="R27" s="17"/>
      <c r="S27" s="17"/>
      <c r="T27" s="17"/>
      <c r="U27" s="17"/>
      <c r="V27" s="514"/>
      <c r="W27" s="17"/>
      <c r="X27" s="17"/>
      <c r="Z27" s="433"/>
    </row>
    <row r="28" spans="1:32" ht="15" customHeight="1">
      <c r="I28" s="17"/>
      <c r="J28" s="514"/>
      <c r="K28" s="17"/>
      <c r="L28" s="17"/>
      <c r="M28" s="17"/>
      <c r="N28" s="514"/>
      <c r="O28" s="17"/>
      <c r="P28" s="17"/>
      <c r="Q28" s="17"/>
      <c r="R28" s="17"/>
      <c r="S28" s="17"/>
      <c r="T28" s="17"/>
      <c r="U28" s="17"/>
      <c r="V28" s="514"/>
      <c r="W28" s="17"/>
      <c r="X28" s="17"/>
      <c r="Z28" s="433"/>
    </row>
    <row r="29" spans="1:32" ht="15" customHeight="1">
      <c r="I29" s="17"/>
      <c r="J29" s="514"/>
      <c r="K29" s="17"/>
      <c r="L29" s="17"/>
      <c r="M29" s="17"/>
      <c r="N29" s="514"/>
      <c r="O29" s="17"/>
      <c r="P29" s="17"/>
      <c r="Q29" s="17"/>
      <c r="R29" s="17"/>
      <c r="S29" s="17"/>
      <c r="T29" s="17"/>
      <c r="U29" s="17"/>
      <c r="V29" s="514"/>
      <c r="W29" s="17"/>
      <c r="X29" s="17"/>
      <c r="Z29" s="433"/>
    </row>
    <row r="30" spans="1:32" ht="15" customHeight="1">
      <c r="I30" s="17"/>
      <c r="J30" s="514"/>
      <c r="K30" s="17"/>
      <c r="L30" s="17"/>
      <c r="M30" s="17"/>
      <c r="N30" s="514"/>
      <c r="O30" s="17"/>
      <c r="P30" s="17"/>
      <c r="Q30" s="17"/>
      <c r="R30" s="17"/>
      <c r="S30" s="17"/>
      <c r="T30" s="17"/>
      <c r="U30" s="17"/>
      <c r="V30" s="514"/>
      <c r="W30" s="17"/>
      <c r="X30" s="17"/>
      <c r="Z30" s="433"/>
    </row>
    <row r="31" spans="1:32" ht="15" customHeight="1">
      <c r="I31" s="17"/>
      <c r="J31" s="514"/>
      <c r="K31" s="17"/>
      <c r="L31" s="17"/>
      <c r="M31" s="17"/>
      <c r="N31" s="514"/>
      <c r="O31" s="17"/>
      <c r="P31" s="17"/>
      <c r="Q31" s="17"/>
      <c r="R31" s="17"/>
      <c r="S31" s="17"/>
      <c r="T31" s="17"/>
      <c r="U31" s="17"/>
      <c r="V31" s="514"/>
      <c r="W31" s="17"/>
      <c r="X31" s="17"/>
      <c r="Z31" s="433"/>
    </row>
    <row r="32" spans="1:32" ht="15" customHeight="1">
      <c r="I32" s="17"/>
      <c r="J32" s="514"/>
      <c r="K32" s="17"/>
      <c r="L32" s="17"/>
      <c r="M32" s="17"/>
      <c r="N32" s="514"/>
      <c r="O32" s="17"/>
      <c r="P32" s="17"/>
      <c r="Q32" s="17"/>
      <c r="R32" s="17"/>
      <c r="S32" s="17"/>
      <c r="T32" s="17"/>
      <c r="U32" s="17"/>
      <c r="V32" s="514"/>
      <c r="W32" s="17"/>
      <c r="Z32" s="433"/>
    </row>
    <row r="33" spans="2:26" ht="15" customHeight="1">
      <c r="I33" s="17"/>
      <c r="J33" s="514"/>
      <c r="K33" s="17"/>
      <c r="L33" s="17"/>
      <c r="M33" s="17"/>
      <c r="N33" s="514"/>
      <c r="O33" s="17"/>
      <c r="P33" s="17"/>
      <c r="Q33" s="17"/>
      <c r="R33" s="17"/>
      <c r="S33" s="17"/>
      <c r="T33" s="17"/>
      <c r="U33" s="17"/>
      <c r="V33" s="514"/>
      <c r="W33" s="17"/>
      <c r="Z33" s="433"/>
    </row>
    <row r="34" spans="2:26" ht="15" customHeight="1">
      <c r="J34" s="433"/>
      <c r="N34" s="433"/>
    </row>
    <row r="35" spans="2:26" ht="15" customHeight="1">
      <c r="J35" s="433"/>
      <c r="N35" s="433"/>
      <c r="V35" s="433"/>
      <c r="Z35" s="433"/>
    </row>
    <row r="36" spans="2:26" ht="15" customHeight="1">
      <c r="J36" s="433"/>
      <c r="N36" s="433"/>
      <c r="V36" s="433"/>
      <c r="Z36" s="429"/>
    </row>
    <row r="37" spans="2:26" ht="15" customHeight="1">
      <c r="J37" s="433"/>
      <c r="N37" s="433"/>
      <c r="V37" s="433"/>
      <c r="Z37" s="433"/>
    </row>
    <row r="38" spans="2:26" ht="15" customHeight="1">
      <c r="J38" s="433"/>
      <c r="N38" s="433"/>
      <c r="V38" s="433"/>
      <c r="Z38" s="433"/>
    </row>
    <row r="39" spans="2:26" ht="15" customHeight="1">
      <c r="J39" s="433"/>
      <c r="N39" s="433"/>
      <c r="V39" s="433"/>
      <c r="Z39" s="433"/>
    </row>
    <row r="40" spans="2:26" ht="15" customHeight="1"/>
    <row r="41" spans="2:26" ht="15" customHeight="1"/>
    <row r="42" spans="2:26" ht="15" customHeight="1"/>
    <row r="43" spans="2:26" ht="15" customHeight="1"/>
    <row r="44" spans="2:26" ht="15" customHeight="1">
      <c r="B44" s="14"/>
    </row>
    <row r="45" spans="2:26" ht="15" customHeight="1"/>
    <row r="46" spans="2:26" ht="15" customHeight="1"/>
    <row r="47" spans="2:26" ht="15" customHeight="1"/>
    <row r="48" spans="2:2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
  <sheetViews>
    <sheetView workbookViewId="0"/>
  </sheetViews>
  <sheetFormatPr baseColWidth="10" defaultRowHeight="1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pageSetUpPr fitToPage="1"/>
  </sheetPr>
  <dimension ref="A1:M14"/>
  <sheetViews>
    <sheetView workbookViewId="0">
      <selection activeCell="B2" sqref="B2"/>
    </sheetView>
  </sheetViews>
  <sheetFormatPr baseColWidth="10" defaultRowHeight="15"/>
  <cols>
    <col min="1" max="1" width="2.83203125" customWidth="1"/>
    <col min="13" max="13" width="2.83203125" customWidth="1"/>
  </cols>
  <sheetData>
    <row r="1" spans="1:13" ht="17" customHeight="1">
      <c r="A1" s="77"/>
      <c r="B1" s="77"/>
      <c r="C1" s="77"/>
      <c r="D1" s="77"/>
      <c r="E1" s="77"/>
      <c r="F1" s="77"/>
      <c r="G1" s="77"/>
      <c r="H1" s="77"/>
      <c r="I1" s="77"/>
      <c r="J1" s="77"/>
      <c r="K1" s="77"/>
      <c r="L1" s="77"/>
      <c r="M1" s="77"/>
    </row>
    <row r="2" spans="1:13">
      <c r="A2" s="77"/>
      <c r="B2" s="77" t="s">
        <v>908</v>
      </c>
      <c r="C2" s="77"/>
      <c r="D2" s="77"/>
      <c r="E2" s="77"/>
      <c r="F2" s="77"/>
      <c r="G2" s="77"/>
      <c r="H2" s="77"/>
      <c r="I2" s="77"/>
      <c r="J2" s="77"/>
      <c r="K2" s="77"/>
      <c r="L2" s="77"/>
      <c r="M2" s="77"/>
    </row>
    <row r="3" spans="1:13">
      <c r="A3" s="77"/>
      <c r="B3" s="77" t="s">
        <v>909</v>
      </c>
      <c r="C3" s="77"/>
      <c r="D3" s="77"/>
      <c r="E3" s="77"/>
      <c r="F3" s="77"/>
      <c r="G3" s="77"/>
      <c r="H3" s="77"/>
      <c r="I3" s="77"/>
      <c r="J3" s="77"/>
      <c r="K3" s="77"/>
      <c r="L3" s="77"/>
      <c r="M3" s="77"/>
    </row>
    <row r="4" spans="1:13">
      <c r="A4" s="77"/>
      <c r="B4" s="77"/>
      <c r="C4" s="77"/>
      <c r="D4" s="77"/>
      <c r="E4" s="77"/>
      <c r="F4" s="77"/>
      <c r="G4" s="77"/>
      <c r="H4" s="77"/>
      <c r="I4" s="77"/>
      <c r="J4" s="77"/>
      <c r="K4" s="77"/>
      <c r="L4" s="77"/>
      <c r="M4" s="77"/>
    </row>
    <row r="5" spans="1:13">
      <c r="A5" s="77"/>
      <c r="B5" s="77"/>
      <c r="C5" s="674" t="s">
        <v>910</v>
      </c>
      <c r="D5" s="234"/>
      <c r="E5" s="77" t="s">
        <v>911</v>
      </c>
      <c r="G5" s="77"/>
      <c r="H5" s="77"/>
      <c r="I5" s="77"/>
      <c r="J5" s="77"/>
      <c r="K5" s="77"/>
      <c r="L5" s="77"/>
      <c r="M5" s="77"/>
    </row>
    <row r="6" spans="1:13">
      <c r="A6" s="77"/>
      <c r="B6" s="77"/>
      <c r="C6" s="214" t="s">
        <v>913</v>
      </c>
      <c r="D6" s="77"/>
      <c r="E6" s="77" t="s">
        <v>912</v>
      </c>
      <c r="F6" s="77"/>
      <c r="G6" s="77"/>
      <c r="H6" s="77"/>
      <c r="I6" s="77"/>
      <c r="J6" s="77"/>
      <c r="K6" s="77"/>
      <c r="L6" s="77"/>
      <c r="M6" s="77"/>
    </row>
    <row r="7" spans="1:13">
      <c r="A7" s="77"/>
      <c r="B7" s="77"/>
      <c r="C7" s="215" t="s">
        <v>934</v>
      </c>
      <c r="D7" s="234"/>
      <c r="E7" s="234" t="s">
        <v>935</v>
      </c>
      <c r="F7" s="234"/>
      <c r="G7" s="77"/>
      <c r="H7" s="77"/>
      <c r="I7" s="77"/>
      <c r="J7" s="77"/>
      <c r="K7" s="77"/>
      <c r="L7" s="77"/>
      <c r="M7" s="77"/>
    </row>
    <row r="8" spans="1:13">
      <c r="A8" s="77"/>
      <c r="B8" s="77"/>
      <c r="C8" s="215" t="s">
        <v>916</v>
      </c>
      <c r="D8" s="77"/>
      <c r="E8" s="77" t="s">
        <v>917</v>
      </c>
      <c r="F8" s="77"/>
      <c r="G8" s="77"/>
      <c r="H8" s="77"/>
      <c r="I8" s="77"/>
      <c r="J8" s="77"/>
      <c r="K8" s="77"/>
      <c r="L8" s="77"/>
      <c r="M8" s="77"/>
    </row>
    <row r="9" spans="1:13">
      <c r="A9" s="77"/>
      <c r="B9" s="77"/>
      <c r="C9" s="215" t="s">
        <v>918</v>
      </c>
      <c r="D9" s="77"/>
      <c r="E9" s="77" t="s">
        <v>919</v>
      </c>
      <c r="F9" s="77"/>
      <c r="G9" s="77"/>
      <c r="H9" s="77"/>
      <c r="I9" s="77"/>
      <c r="J9" s="77"/>
      <c r="K9" s="77"/>
      <c r="L9" s="77"/>
      <c r="M9" s="77"/>
    </row>
    <row r="10" spans="1:13">
      <c r="A10" s="77"/>
      <c r="B10" s="21"/>
      <c r="C10" s="215" t="s">
        <v>920</v>
      </c>
      <c r="D10" s="77"/>
      <c r="E10" s="77" t="s">
        <v>921</v>
      </c>
      <c r="F10" s="77"/>
      <c r="G10" s="77"/>
      <c r="H10" s="77"/>
      <c r="I10" s="77"/>
      <c r="J10" s="77"/>
      <c r="K10" s="77"/>
      <c r="L10" s="77"/>
      <c r="M10" s="77"/>
    </row>
    <row r="11" spans="1:13">
      <c r="A11" s="77"/>
      <c r="B11" s="214"/>
      <c r="C11" s="215" t="s">
        <v>922</v>
      </c>
      <c r="D11" s="77"/>
      <c r="E11" s="77" t="s">
        <v>923</v>
      </c>
      <c r="F11" s="77"/>
      <c r="G11" s="77"/>
      <c r="H11" s="77"/>
      <c r="I11" s="77"/>
      <c r="J11" s="77"/>
      <c r="K11" s="77"/>
      <c r="L11" s="77"/>
      <c r="M11" s="77"/>
    </row>
    <row r="12" spans="1:13">
      <c r="A12" s="77"/>
      <c r="B12" s="217"/>
      <c r="C12" s="215" t="s">
        <v>926</v>
      </c>
      <c r="D12" s="77"/>
      <c r="E12" s="77" t="s">
        <v>924</v>
      </c>
      <c r="F12" s="77"/>
      <c r="G12" s="77"/>
      <c r="H12" s="77"/>
      <c r="I12" s="77"/>
      <c r="J12" s="77"/>
      <c r="K12" s="77"/>
      <c r="L12" s="77"/>
      <c r="M12" s="77"/>
    </row>
    <row r="13" spans="1:13">
      <c r="A13" s="77"/>
      <c r="B13" s="217"/>
      <c r="C13" s="215" t="s">
        <v>927</v>
      </c>
      <c r="D13" s="77"/>
      <c r="E13" s="77" t="s">
        <v>925</v>
      </c>
      <c r="F13" s="77"/>
      <c r="G13" s="77"/>
      <c r="H13" s="77"/>
      <c r="I13" s="77"/>
      <c r="J13" s="77"/>
      <c r="K13" s="77"/>
      <c r="L13" s="77"/>
      <c r="M13" s="77"/>
    </row>
    <row r="14" spans="1:13" ht="17" customHeight="1">
      <c r="A14" s="77"/>
      <c r="B14" s="77"/>
      <c r="C14" s="77"/>
      <c r="D14" s="77"/>
      <c r="E14" s="77"/>
      <c r="F14" s="77"/>
      <c r="G14" s="77"/>
      <c r="H14" s="77"/>
      <c r="I14" s="77"/>
      <c r="J14" s="77"/>
      <c r="K14" s="77"/>
      <c r="L14" s="77"/>
      <c r="M14" s="77"/>
    </row>
  </sheetData>
  <phoneticPr fontId="55" type="noConversion"/>
  <hyperlinks>
    <hyperlink ref="C5" location="'Internal consistency check'!A1" display="'Internal consistency check'!A1" xr:uid="{00000000-0004-0000-1B00-000000000000}"/>
    <hyperlink ref="C6" location="Constants!A1" display="Constants!A1" xr:uid="{00000000-0004-0000-1B00-000001000000}"/>
    <hyperlink ref="C8" location="'Energy data by fuel cycle'!A1" display="'Energy data by fuel cycle'!A1" xr:uid="{00000000-0004-0000-1B00-000002000000}"/>
    <hyperlink ref="C9" location="'Sankey conversion input'!A1" display="'Sankey conversion input'!A1" xr:uid="{00000000-0004-0000-1B00-000003000000}"/>
    <hyperlink ref="C10" location="'Allocation of &quot;other&quot; fuels'!A1" display="'Allocation of &quot;other&quot; fuels'!A1" xr:uid="{00000000-0004-0000-1B00-000004000000}"/>
    <hyperlink ref="C11" location="'Intermediate o&amp;g entries'!A1" display="'Intermediate o&amp;g entries'!A1" xr:uid="{00000000-0004-0000-1B00-000005000000}"/>
    <hyperlink ref="C12" location="'Intermediate coal entries'!A1" display="'Intermediate coal entries'!A1" xr:uid="{00000000-0004-0000-1B00-000006000000}"/>
    <hyperlink ref="C13" location="'Intermediate geothermal'!A1" display="'Intermediate geothermal'!A1" xr:uid="{00000000-0004-0000-1B00-000007000000}"/>
    <hyperlink ref="C7" location="'EIA definitions'!A1" display="'EIA definitions'!A1" xr:uid="{00000000-0004-0000-1B00-000008000000}"/>
  </hyperlinks>
  <pageMargins left="0.75" right="0.75" top="1" bottom="1" header="0.5" footer="0.5"/>
  <pageSetup paperSize="3" orientation="landscape"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L47"/>
  <sheetViews>
    <sheetView workbookViewId="0"/>
  </sheetViews>
  <sheetFormatPr baseColWidth="10" defaultRowHeight="13"/>
  <cols>
    <col min="1" max="1" width="2.83203125" style="80" customWidth="1"/>
    <col min="2" max="2" width="40.83203125" style="80" customWidth="1"/>
    <col min="3" max="3" width="25.83203125" style="10" customWidth="1"/>
    <col min="4" max="5" width="25.83203125" style="80" customWidth="1"/>
    <col min="6" max="6" width="63.5" style="80" customWidth="1"/>
    <col min="7" max="8" width="10.83203125" style="80"/>
    <col min="9" max="9" width="10.83203125" style="80" customWidth="1"/>
    <col min="10" max="16384" width="10.83203125" style="80"/>
  </cols>
  <sheetData>
    <row r="1" spans="1:12" ht="17" customHeight="1">
      <c r="A1" s="115"/>
      <c r="B1" s="115"/>
      <c r="C1" s="73"/>
      <c r="D1" s="115"/>
      <c r="E1" s="115"/>
      <c r="F1" s="115"/>
    </row>
    <row r="2" spans="1:12" ht="34">
      <c r="A2" s="115"/>
      <c r="B2" s="93"/>
      <c r="C2" s="94" t="s">
        <v>957</v>
      </c>
      <c r="D2" s="94" t="s">
        <v>958</v>
      </c>
      <c r="E2" s="94" t="s">
        <v>959</v>
      </c>
      <c r="F2" s="73"/>
    </row>
    <row r="3" spans="1:12" ht="16">
      <c r="A3" s="115"/>
      <c r="B3" s="95" t="s">
        <v>761</v>
      </c>
      <c r="C3" s="96"/>
      <c r="D3" s="96"/>
      <c r="E3" s="97"/>
      <c r="F3" s="73"/>
    </row>
    <row r="4" spans="1:12" ht="16">
      <c r="A4" s="115"/>
      <c r="B4" s="98" t="s">
        <v>9</v>
      </c>
      <c r="C4" s="99">
        <f>SUM(Intensity!Q7:Q10)</f>
        <v>0.11945355579617642</v>
      </c>
      <c r="D4" s="99">
        <f>SUM(Intensity!R7:R10)</f>
        <v>0.16975131514573566</v>
      </c>
      <c r="E4" s="99">
        <f>D4-C4</f>
        <v>5.029775934955924E-2</v>
      </c>
      <c r="F4" s="73"/>
      <c r="H4" s="465"/>
    </row>
    <row r="5" spans="1:12" ht="16">
      <c r="A5" s="115"/>
      <c r="B5" s="98" t="s">
        <v>8</v>
      </c>
      <c r="C5" s="99">
        <f>SUM(Intensity!Q11:Q14)</f>
        <v>0.10573309417968332</v>
      </c>
      <c r="D5" s="99">
        <f>SUM(Intensity!R11:R14)</f>
        <v>2.8842053355859361</v>
      </c>
      <c r="E5" s="99">
        <f>D5-C5</f>
        <v>2.7784722414062526</v>
      </c>
      <c r="F5" s="73"/>
      <c r="H5" s="465"/>
    </row>
    <row r="6" spans="1:12" ht="16" customHeight="1">
      <c r="A6" s="115"/>
      <c r="B6" s="98" t="s">
        <v>10</v>
      </c>
      <c r="C6" s="99">
        <f>SUM(Intensity!Q15:Q18)</f>
        <v>4.4343553648815235E-3</v>
      </c>
      <c r="D6" s="99">
        <f>SUM(Intensity!R15:R18)</f>
        <v>2.3235881193732062E-2</v>
      </c>
      <c r="E6" s="99">
        <f>D6-C6</f>
        <v>1.8801525828850536E-2</v>
      </c>
      <c r="F6" s="73"/>
      <c r="G6" s="75"/>
      <c r="H6" s="465"/>
      <c r="I6" s="208"/>
      <c r="J6" s="208"/>
    </row>
    <row r="7" spans="1:12" ht="16" customHeight="1">
      <c r="A7" s="115"/>
      <c r="B7" s="100" t="s">
        <v>48</v>
      </c>
      <c r="C7" s="101">
        <f>SUM(C4:C6)</f>
        <v>0.22962100534074126</v>
      </c>
      <c r="D7" s="101">
        <f t="shared" ref="D7:E7" si="0">SUM(D4:D6)</f>
        <v>3.0771925319254034</v>
      </c>
      <c r="E7" s="101">
        <f t="shared" si="0"/>
        <v>2.8475715265846624</v>
      </c>
      <c r="F7" s="73"/>
      <c r="G7" s="209"/>
      <c r="H7" s="465"/>
      <c r="I7" s="211"/>
      <c r="J7" s="208"/>
    </row>
    <row r="8" spans="1:12" ht="16" customHeight="1">
      <c r="A8" s="115"/>
      <c r="B8" s="98"/>
      <c r="C8" s="99"/>
      <c r="D8" s="99"/>
      <c r="E8" s="99"/>
      <c r="F8" s="90"/>
      <c r="G8" s="209"/>
      <c r="H8" s="465"/>
      <c r="I8" s="208"/>
      <c r="J8" s="208"/>
    </row>
    <row r="9" spans="1:12" ht="16" customHeight="1">
      <c r="A9" s="115"/>
      <c r="B9" s="102" t="s">
        <v>762</v>
      </c>
      <c r="C9" s="103"/>
      <c r="D9" s="103"/>
      <c r="E9" s="103"/>
      <c r="F9" s="73"/>
      <c r="G9" s="75"/>
      <c r="H9" s="465"/>
      <c r="I9" s="208"/>
      <c r="J9" s="208"/>
    </row>
    <row r="10" spans="1:12" ht="16" customHeight="1">
      <c r="A10" s="115"/>
      <c r="B10" s="104" t="s">
        <v>0</v>
      </c>
      <c r="C10" s="99">
        <f>Intensity!Q7+Intensity!Q11+Intensity!Q15</f>
        <v>0.18571710674008843</v>
      </c>
      <c r="D10" s="99">
        <f>Intensity!R7+Intensity!R11+Intensity!R15</f>
        <v>2.5193831405955964</v>
      </c>
      <c r="E10" s="99">
        <f>D10-C10</f>
        <v>2.3336660338555082</v>
      </c>
      <c r="F10" s="73"/>
      <c r="G10" s="75"/>
      <c r="H10" s="465"/>
      <c r="I10" s="208"/>
      <c r="J10" s="208"/>
    </row>
    <row r="11" spans="1:12" ht="16" customHeight="1">
      <c r="A11" s="115"/>
      <c r="B11" s="104" t="s">
        <v>7</v>
      </c>
      <c r="C11" s="99">
        <f>Intensity!Q8+Intensity!Q12+Intensity!Q16</f>
        <v>6.8249608018725741E-3</v>
      </c>
      <c r="D11" s="99">
        <f>Intensity!R8+Intensity!R12+Intensity!R16</f>
        <v>0.20597021549435965</v>
      </c>
      <c r="E11" s="99">
        <f>D11-C11</f>
        <v>0.19914525469248706</v>
      </c>
      <c r="F11" s="73"/>
      <c r="H11" s="465"/>
      <c r="I11" s="208"/>
      <c r="J11" s="208"/>
      <c r="K11" s="85"/>
    </row>
    <row r="12" spans="1:12" ht="16" customHeight="1">
      <c r="A12" s="115"/>
      <c r="B12" s="104" t="s">
        <v>1</v>
      </c>
      <c r="C12" s="99">
        <f>Intensity!Q9+Intensity!Q13+Intensity!Q17</f>
        <v>1.1608446968200599E-2</v>
      </c>
      <c r="D12" s="99">
        <f>Intensity!R9+Intensity!R13+Intensity!R17</f>
        <v>0.30558312173694496</v>
      </c>
      <c r="E12" s="99">
        <f>D12-C12</f>
        <v>0.29397467476874434</v>
      </c>
      <c r="F12" s="73"/>
      <c r="H12" s="465"/>
      <c r="I12" s="208"/>
      <c r="J12" s="208"/>
      <c r="K12" s="85"/>
    </row>
    <row r="13" spans="1:12" ht="16">
      <c r="A13" s="115"/>
      <c r="B13" s="104" t="s">
        <v>13</v>
      </c>
      <c r="C13" s="99">
        <f>Intensity!Q10+Intensity!Q14+Intensity!Q18</f>
        <v>2.5470490830579652E-2</v>
      </c>
      <c r="D13" s="99">
        <f>Intensity!R10+Intensity!R14+Intensity!R18</f>
        <v>4.6256054098502558E-2</v>
      </c>
      <c r="E13" s="99">
        <f>D13-C13</f>
        <v>2.0785563267922906E-2</v>
      </c>
      <c r="F13" s="73"/>
      <c r="H13" s="465"/>
      <c r="J13" s="85"/>
      <c r="K13" s="85"/>
    </row>
    <row r="14" spans="1:12" ht="16">
      <c r="A14" s="115"/>
      <c r="B14" s="105" t="s">
        <v>48</v>
      </c>
      <c r="C14" s="101">
        <f>SUM(C10:C13)</f>
        <v>0.22962100534074126</v>
      </c>
      <c r="D14" s="101">
        <f t="shared" ref="D14:E14" si="1">SUM(D10:D13)</f>
        <v>3.0771925319254034</v>
      </c>
      <c r="E14" s="101">
        <f t="shared" si="1"/>
        <v>2.8475715265846628</v>
      </c>
      <c r="F14" s="73"/>
      <c r="H14" s="465"/>
      <c r="I14" s="75"/>
      <c r="J14" s="85"/>
      <c r="K14" s="85"/>
    </row>
    <row r="15" spans="1:12" ht="16">
      <c r="A15" s="115"/>
      <c r="B15" s="98"/>
      <c r="C15" s="99"/>
      <c r="D15" s="99"/>
      <c r="E15" s="99"/>
      <c r="F15" s="90"/>
      <c r="H15" s="465"/>
      <c r="I15" s="75"/>
      <c r="J15" s="85"/>
      <c r="K15" s="85"/>
    </row>
    <row r="16" spans="1:12" ht="16">
      <c r="A16" s="115"/>
      <c r="B16" s="106" t="s">
        <v>771</v>
      </c>
      <c r="C16" s="107"/>
      <c r="D16" s="107"/>
      <c r="E16" s="107"/>
      <c r="F16" s="114"/>
      <c r="G16" s="171"/>
      <c r="H16" s="465"/>
      <c r="I16" s="75"/>
      <c r="J16" s="86"/>
      <c r="K16" s="86"/>
      <c r="L16" s="29"/>
    </row>
    <row r="17" spans="1:12" ht="16">
      <c r="A17" s="115"/>
      <c r="B17" s="98" t="s">
        <v>764</v>
      </c>
      <c r="C17" s="99">
        <f>Intensity!E6</f>
        <v>0.14481984931638048</v>
      </c>
      <c r="D17" s="99">
        <f>Intensity!F6</f>
        <v>0.18901567083726395</v>
      </c>
      <c r="E17" s="99">
        <f>D17-C17</f>
        <v>4.4195821520883471E-2</v>
      </c>
      <c r="F17" s="73"/>
      <c r="H17" s="465"/>
      <c r="I17" s="75"/>
      <c r="J17" s="86"/>
      <c r="K17" s="86"/>
      <c r="L17" s="29"/>
    </row>
    <row r="18" spans="1:12" ht="16">
      <c r="A18" s="115"/>
      <c r="B18" s="98" t="s">
        <v>765</v>
      </c>
      <c r="C18" s="99">
        <f>Intensity!G6</f>
        <v>1.7910930116708354E-3</v>
      </c>
      <c r="D18" s="99">
        <f>Intensity!H6</f>
        <v>1.1750136349251976E-2</v>
      </c>
      <c r="E18" s="99">
        <f>D18-C18</f>
        <v>9.9590433375811409E-3</v>
      </c>
      <c r="F18" s="73"/>
      <c r="H18" s="465"/>
      <c r="J18" s="86"/>
      <c r="K18" s="86"/>
      <c r="L18" s="29"/>
    </row>
    <row r="19" spans="1:12" ht="16">
      <c r="A19" s="115"/>
      <c r="B19" s="98" t="s">
        <v>766</v>
      </c>
      <c r="C19" s="99">
        <f>Intensity!I6</f>
        <v>3.2801643351561766E-3</v>
      </c>
      <c r="D19" s="99">
        <f>Intensity!J6</f>
        <v>3.4037794738491474E-3</v>
      </c>
      <c r="E19" s="99">
        <f>D19-C19</f>
        <v>1.2361513869297083E-4</v>
      </c>
      <c r="F19" s="73"/>
      <c r="H19" s="465"/>
      <c r="J19" s="87"/>
      <c r="K19" s="88"/>
      <c r="L19" s="29"/>
    </row>
    <row r="20" spans="1:12" ht="16">
      <c r="A20" s="115"/>
      <c r="B20" s="98" t="s">
        <v>68</v>
      </c>
      <c r="C20" s="99">
        <f>Intensity!K6</f>
        <v>7.4510840370906051E-2</v>
      </c>
      <c r="D20" s="99">
        <f>Intensity!L6</f>
        <v>2.871940028173309</v>
      </c>
      <c r="E20" s="99">
        <f>D20-C20</f>
        <v>2.7974291878024031</v>
      </c>
      <c r="F20" s="73"/>
      <c r="H20" s="465"/>
      <c r="J20" s="83"/>
      <c r="K20" s="88"/>
      <c r="L20" s="29"/>
    </row>
    <row r="21" spans="1:12" ht="16">
      <c r="A21" s="115"/>
      <c r="B21" s="98" t="s">
        <v>770</v>
      </c>
      <c r="C21" s="99">
        <f>Intensity!M6</f>
        <v>5.2190583066277245E-3</v>
      </c>
      <c r="D21" s="99">
        <f>Intensity!N6</f>
        <v>1.0829170917297539E-3</v>
      </c>
      <c r="E21" s="109" t="s">
        <v>773</v>
      </c>
      <c r="F21" s="92"/>
      <c r="G21" s="84"/>
      <c r="H21" s="464"/>
      <c r="J21" s="85"/>
      <c r="K21" s="85"/>
    </row>
    <row r="22" spans="1:12" ht="16">
      <c r="A22" s="115"/>
      <c r="B22" s="100" t="s">
        <v>48</v>
      </c>
      <c r="C22" s="101">
        <f>SUM(C17:C20,C21)</f>
        <v>0.22962100534074126</v>
      </c>
      <c r="D22" s="101">
        <f>SUM(D17:D20,D21)</f>
        <v>3.0771925319254039</v>
      </c>
      <c r="E22" s="101">
        <f>SUM(E17:E20,E21)</f>
        <v>2.8517076677995608</v>
      </c>
      <c r="F22" s="92"/>
      <c r="H22" s="465"/>
      <c r="J22" s="85"/>
      <c r="K22" s="85"/>
    </row>
    <row r="23" spans="1:12" ht="16">
      <c r="A23" s="115"/>
      <c r="B23" s="98"/>
      <c r="C23" s="210"/>
      <c r="D23" s="99"/>
      <c r="E23" s="99"/>
      <c r="F23" s="92"/>
      <c r="H23" s="465"/>
      <c r="J23" s="85"/>
      <c r="K23" s="85"/>
    </row>
    <row r="24" spans="1:12" ht="16">
      <c r="A24" s="115"/>
      <c r="B24" s="110" t="s">
        <v>772</v>
      </c>
      <c r="C24" s="111"/>
      <c r="D24" s="111"/>
      <c r="E24" s="111"/>
      <c r="F24" s="90"/>
      <c r="H24" s="465"/>
      <c r="J24" s="85"/>
      <c r="K24" s="85"/>
    </row>
    <row r="25" spans="1:12" ht="16">
      <c r="A25" s="115"/>
      <c r="B25" s="98" t="s">
        <v>16</v>
      </c>
      <c r="C25" s="99">
        <f>Intensity!Q22</f>
        <v>0.11272437279860113</v>
      </c>
      <c r="D25" s="99">
        <f>Intensity!R22</f>
        <v>0.27964003841013435</v>
      </c>
      <c r="E25" s="99">
        <f t="shared" ref="E25:E34" si="2">D25-C25</f>
        <v>0.1669156656115332</v>
      </c>
      <c r="F25" s="73"/>
      <c r="H25" s="465"/>
    </row>
    <row r="26" spans="1:12" ht="16">
      <c r="A26" s="115"/>
      <c r="B26" s="98" t="s">
        <v>17</v>
      </c>
      <c r="C26" s="99">
        <f>Intensity!Q38</f>
        <v>3.5371838048207073E-2</v>
      </c>
      <c r="D26" s="99">
        <f>Intensity!R38</f>
        <v>0.11686777203843814</v>
      </c>
      <c r="E26" s="99">
        <f t="shared" si="2"/>
        <v>8.1495933990231056E-2</v>
      </c>
      <c r="F26" s="73"/>
      <c r="H26" s="465"/>
    </row>
    <row r="27" spans="1:12" ht="16">
      <c r="A27" s="115"/>
      <c r="B27" s="98" t="s">
        <v>142</v>
      </c>
      <c r="C27" s="99">
        <f>Intensity!Q54</f>
        <v>2.861506168379909</v>
      </c>
      <c r="D27" s="99">
        <f>Intensity!R54</f>
        <v>3.5333875095144389</v>
      </c>
      <c r="E27" s="99">
        <f t="shared" si="2"/>
        <v>0.67188134113452991</v>
      </c>
      <c r="F27" s="73"/>
      <c r="H27" s="465"/>
    </row>
    <row r="28" spans="1:12" ht="16">
      <c r="A28" s="115"/>
      <c r="B28" s="98" t="s">
        <v>143</v>
      </c>
      <c r="C28" s="99">
        <f>Intensity!Q70</f>
        <v>2.3074297067656322</v>
      </c>
      <c r="D28" s="99">
        <f>Intensity!R70</f>
        <v>2.8987130084440671</v>
      </c>
      <c r="E28" s="99">
        <f t="shared" si="2"/>
        <v>0.5912833016784349</v>
      </c>
      <c r="F28" s="73"/>
      <c r="H28" s="465"/>
    </row>
    <row r="29" spans="1:12" ht="16">
      <c r="A29" s="115"/>
      <c r="B29" s="98" t="s">
        <v>73</v>
      </c>
      <c r="C29" s="99">
        <f>Intensity!Q86</f>
        <v>0.46176241697560655</v>
      </c>
      <c r="D29" s="99">
        <f>Intensity!R86</f>
        <v>21.725642610811263</v>
      </c>
      <c r="E29" s="99">
        <f t="shared" si="2"/>
        <v>21.263880193835657</v>
      </c>
      <c r="F29" s="73"/>
      <c r="H29" s="465"/>
    </row>
    <row r="30" spans="1:12" ht="16">
      <c r="A30" s="115"/>
      <c r="B30" s="98" t="s">
        <v>74</v>
      </c>
      <c r="C30" s="99">
        <f>Intensity!Q102</f>
        <v>0.40583469921664739</v>
      </c>
      <c r="D30" s="99">
        <f>Intensity!R102</f>
        <v>11.934841568222934</v>
      </c>
      <c r="E30" s="99">
        <f t="shared" si="2"/>
        <v>11.529006869006286</v>
      </c>
      <c r="F30" s="73"/>
      <c r="H30" s="465"/>
    </row>
    <row r="31" spans="1:12" ht="16">
      <c r="A31" s="115"/>
      <c r="B31" s="98" t="s">
        <v>20</v>
      </c>
      <c r="C31" s="99">
        <f>Intensity!Q118</f>
        <v>0.54122485073477355</v>
      </c>
      <c r="D31" s="99">
        <f>Intensity!R118</f>
        <v>22.063703838276719</v>
      </c>
      <c r="E31" s="99">
        <f t="shared" si="2"/>
        <v>21.522478987541945</v>
      </c>
      <c r="F31" s="73"/>
      <c r="H31" s="465"/>
    </row>
    <row r="32" spans="1:12" ht="16">
      <c r="A32" s="115"/>
      <c r="B32" s="98" t="s">
        <v>18</v>
      </c>
      <c r="C32" s="99">
        <f>Intensity!Q134</f>
        <v>5.9481332382347381E-2</v>
      </c>
      <c r="D32" s="99">
        <f>Intensity!R134</f>
        <v>0.80119808635881851</v>
      </c>
      <c r="E32" s="99">
        <f t="shared" si="2"/>
        <v>0.74171675397647108</v>
      </c>
      <c r="F32" s="73"/>
      <c r="H32" s="465"/>
    </row>
    <row r="33" spans="1:11" ht="16">
      <c r="A33" s="115"/>
      <c r="B33" s="98" t="s">
        <v>19</v>
      </c>
      <c r="C33" s="99">
        <f>Intensity!Q150</f>
        <v>8.8426151354331239E-2</v>
      </c>
      <c r="D33" s="99">
        <f>Intensity!R150</f>
        <v>0.83013627366764597</v>
      </c>
      <c r="E33" s="99">
        <f t="shared" si="2"/>
        <v>0.74171012231331468</v>
      </c>
      <c r="F33" s="73"/>
      <c r="H33" s="465"/>
    </row>
    <row r="34" spans="1:11" ht="16">
      <c r="A34" s="115"/>
      <c r="B34" s="98" t="s">
        <v>28</v>
      </c>
      <c r="C34" s="99">
        <f>Intensity!Q166</f>
        <v>0.60619349569715275</v>
      </c>
      <c r="D34" s="99">
        <f>Intensity!R166</f>
        <v>25.91578628066911</v>
      </c>
      <c r="E34" s="99">
        <f t="shared" si="2"/>
        <v>25.309592784971958</v>
      </c>
      <c r="F34" s="73"/>
      <c r="H34" s="465"/>
    </row>
    <row r="35" spans="1:11" ht="16">
      <c r="A35" s="115"/>
      <c r="B35" s="98" t="s">
        <v>29</v>
      </c>
      <c r="C35" s="99">
        <f>Intensity!Q182</f>
        <v>2.6474617374230047</v>
      </c>
      <c r="D35" s="99">
        <f>Intensity!R182-Intensity!L187</f>
        <v>2.6474617374224181</v>
      </c>
      <c r="E35" s="109" t="s">
        <v>773</v>
      </c>
      <c r="F35" s="73"/>
      <c r="H35" s="465"/>
    </row>
    <row r="36" spans="1:11" ht="16">
      <c r="A36" s="115"/>
      <c r="B36" s="98" t="s">
        <v>5</v>
      </c>
      <c r="C36" s="99">
        <f>Intensity!Q198</f>
        <v>3.159798147853176E-3</v>
      </c>
      <c r="D36" s="99">
        <f>Intensity!R198</f>
        <v>3.159798147853176E-2</v>
      </c>
      <c r="E36" s="99">
        <f>D36-C36</f>
        <v>2.8438183330678584E-2</v>
      </c>
      <c r="F36" s="73"/>
      <c r="H36" s="464"/>
    </row>
    <row r="37" spans="1:11" ht="16">
      <c r="A37" s="115"/>
      <c r="B37" s="98" t="s">
        <v>288</v>
      </c>
      <c r="C37" s="99">
        <f>Intensity!Q214</f>
        <v>0.13923982940011631</v>
      </c>
      <c r="D37" s="99">
        <f>Intensity!R214</f>
        <v>3.3750103723862752</v>
      </c>
      <c r="E37" s="99">
        <f>D37-C37</f>
        <v>3.2357705429861587</v>
      </c>
      <c r="F37" s="73"/>
      <c r="H37" s="465"/>
    </row>
    <row r="38" spans="1:11" ht="16">
      <c r="A38" s="115"/>
      <c r="B38" s="98" t="s">
        <v>374</v>
      </c>
      <c r="C38" s="99">
        <f>Intensity!Q230</f>
        <v>4.6029006905816468E-2</v>
      </c>
      <c r="D38" s="99">
        <f>Intensity!R230</f>
        <v>1.7149104708590979</v>
      </c>
      <c r="E38" s="99">
        <f>D38-C38</f>
        <v>1.6688814639532814</v>
      </c>
      <c r="F38" s="73"/>
      <c r="H38" s="465"/>
    </row>
    <row r="39" spans="1:11" ht="16">
      <c r="A39" s="115"/>
      <c r="B39" s="98" t="s">
        <v>6</v>
      </c>
      <c r="C39" s="99">
        <f>Intensity!Q246</f>
        <v>3.101681311262908</v>
      </c>
      <c r="D39" s="99">
        <f>Intensity!R246</f>
        <v>3.1051370963863367</v>
      </c>
      <c r="E39" s="99">
        <f>D39-C39</f>
        <v>3.4557851234287007E-3</v>
      </c>
      <c r="F39" s="73"/>
      <c r="H39" s="465"/>
    </row>
    <row r="40" spans="1:11" ht="16">
      <c r="A40" s="115"/>
      <c r="B40" s="98" t="s">
        <v>38</v>
      </c>
      <c r="C40" s="99">
        <f>Intensity!Q262</f>
        <v>1.869222155365819E-3</v>
      </c>
      <c r="D40" s="99">
        <f>Intensity!R262</f>
        <v>1.869222155365819E-3</v>
      </c>
      <c r="E40" s="109" t="s">
        <v>773</v>
      </c>
      <c r="F40" s="73"/>
      <c r="H40" s="466"/>
    </row>
    <row r="41" spans="1:11" ht="16">
      <c r="A41" s="115"/>
      <c r="B41" s="738" t="s">
        <v>39</v>
      </c>
      <c r="C41" s="739">
        <f>Intensity!Q278</f>
        <v>0.98650536114099996</v>
      </c>
      <c r="D41" s="739">
        <f>Intensity!R278</f>
        <v>1.646901957968921</v>
      </c>
      <c r="E41" s="739">
        <f>D41-C41</f>
        <v>0.66039659682792107</v>
      </c>
      <c r="F41" s="73"/>
      <c r="H41" s="464"/>
    </row>
    <row r="42" spans="1:11" ht="16">
      <c r="A42" s="115"/>
      <c r="B42" s="100" t="s">
        <v>48</v>
      </c>
      <c r="C42" s="101">
        <f>SUMPRODUCT(C25:C41,'Energy data by fuel cycle'!$G$5:$G$21)/SUM('Energy data by fuel cycle'!$G$5:$G$21)</f>
        <v>0.22962100534074126</v>
      </c>
      <c r="D42" s="101">
        <f>SUMPRODUCT(D25:D41,'Energy data by fuel cycle'!$G$5:$G$21)/SUM('Energy data by fuel cycle'!$G$5:$G$21)</f>
        <v>3.0771925319254967</v>
      </c>
      <c r="E42" s="101">
        <f>SUMPRODUCT(E25:E41,'Energy data by fuel cycle'!$G$5:$G$21)/SUM('Energy data by fuel cycle'!$G$5:$G$21)</f>
        <v>2.8475715265847636</v>
      </c>
      <c r="F42" s="92"/>
      <c r="H42" s="465"/>
      <c r="J42" s="85"/>
      <c r="K42" s="85"/>
    </row>
    <row r="43" spans="1:11" ht="17" customHeight="1">
      <c r="A43" s="115"/>
      <c r="B43" s="76"/>
      <c r="C43" s="91"/>
      <c r="D43" s="90"/>
      <c r="E43" s="73"/>
      <c r="F43" s="73"/>
      <c r="H43" s="172"/>
    </row>
    <row r="44" spans="1:11">
      <c r="B44" s="10"/>
      <c r="C44" s="81"/>
      <c r="D44" s="10"/>
      <c r="E44" s="10"/>
      <c r="F44" s="10"/>
    </row>
    <row r="45" spans="1:11">
      <c r="B45" s="10"/>
      <c r="C45" s="82"/>
      <c r="D45" s="10"/>
      <c r="E45" s="10"/>
      <c r="F45" s="10"/>
    </row>
    <row r="46" spans="1:11">
      <c r="C46" s="82"/>
    </row>
    <row r="47" spans="1:11">
      <c r="C47" s="81"/>
    </row>
  </sheetData>
  <sheetProtection sheet="1" objects="1" scenarios="1" formatCells="0" formatColumns="0" formatRows="0" sort="0" autoFilter="0" pivotTables="0"/>
  <phoneticPr fontId="55" type="noConversion"/>
  <pageMargins left="0.75" right="0.75" top="1" bottom="1" header="0.5" footer="0.5"/>
  <pageSetup paperSize="3" scale="91" orientation="landscape" horizontalDpi="0" verticalDpi="0"/>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34998626667073579"/>
    <pageSetUpPr fitToPage="1"/>
  </sheetPr>
  <dimension ref="A1:O64"/>
  <sheetViews>
    <sheetView workbookViewId="0"/>
  </sheetViews>
  <sheetFormatPr baseColWidth="10" defaultRowHeight="13"/>
  <cols>
    <col min="1" max="1" width="2.83203125" style="633" customWidth="1"/>
    <col min="2" max="14" width="15.83203125" style="633" customWidth="1"/>
    <col min="15" max="15" width="2.83203125" style="633" customWidth="1"/>
    <col min="16" max="16384" width="10.83203125" style="633"/>
  </cols>
  <sheetData>
    <row r="1" spans="1:15" ht="17" customHeight="1">
      <c r="A1" s="636"/>
      <c r="B1" s="636"/>
      <c r="C1" s="636"/>
      <c r="D1" s="636"/>
      <c r="E1" s="636"/>
      <c r="F1" s="636"/>
      <c r="G1" s="636"/>
      <c r="H1" s="636"/>
      <c r="I1" s="636"/>
      <c r="J1" s="636"/>
      <c r="K1" s="636"/>
      <c r="L1" s="636"/>
      <c r="M1" s="636"/>
      <c r="N1" s="636"/>
      <c r="O1" s="636"/>
    </row>
    <row r="2" spans="1:15" ht="13" customHeight="1">
      <c r="A2" s="636"/>
      <c r="B2" s="660"/>
      <c r="C2" s="819" t="s">
        <v>904</v>
      </c>
      <c r="D2" s="819"/>
      <c r="E2" s="819"/>
      <c r="F2" s="661"/>
      <c r="G2" s="661"/>
      <c r="H2" s="660"/>
      <c r="I2" s="660"/>
      <c r="J2" s="818" t="s">
        <v>905</v>
      </c>
      <c r="K2" s="818"/>
      <c r="L2" s="818"/>
      <c r="M2" s="660"/>
      <c r="N2" s="660"/>
      <c r="O2" s="636"/>
    </row>
    <row r="3" spans="1:15">
      <c r="A3" s="636"/>
      <c r="B3" s="115"/>
      <c r="C3" s="662" t="s">
        <v>902</v>
      </c>
      <c r="D3" s="662" t="s">
        <v>901</v>
      </c>
      <c r="E3" s="662" t="s">
        <v>900</v>
      </c>
      <c r="F3" s="663" t="s">
        <v>907</v>
      </c>
      <c r="G3" s="663" t="s">
        <v>906</v>
      </c>
      <c r="H3" s="660"/>
      <c r="I3" s="115"/>
      <c r="J3" s="664" t="s">
        <v>902</v>
      </c>
      <c r="K3" s="664" t="s">
        <v>901</v>
      </c>
      <c r="L3" s="664" t="s">
        <v>900</v>
      </c>
      <c r="M3" s="663" t="s">
        <v>907</v>
      </c>
      <c r="N3" s="663" t="s">
        <v>906</v>
      </c>
      <c r="O3" s="636"/>
    </row>
    <row r="4" spans="1:15">
      <c r="A4" s="636"/>
      <c r="B4" s="144" t="s">
        <v>9</v>
      </c>
      <c r="C4" s="665">
        <f>'Volume Summary'!$C$4</f>
        <v>8525080938</v>
      </c>
      <c r="D4" s="665">
        <f>SUMIF('Absolute Volume'!$C$7:$C$18,I4,'Absolute Volume'!$Q$7:$Q$18)</f>
        <v>8525080938.07055</v>
      </c>
      <c r="E4" s="665">
        <f>SUM('Oil:Solar Thermal'!AE12)-Oil!AE12-Coal!AE12-'Natural Gas'!AE12</f>
        <v>8525080938.0705681</v>
      </c>
      <c r="F4" s="666">
        <f>SUM(C4:E4)/3-C4</f>
        <v>4.7039031982421875E-2</v>
      </c>
      <c r="G4" s="667">
        <f>F4/AVERAGE(C4:E4)</f>
        <v>5.5177226262438013E-12</v>
      </c>
      <c r="H4" s="660"/>
      <c r="I4" s="144" t="s">
        <v>9</v>
      </c>
      <c r="J4" s="665">
        <f>'Volume Summary'!$D$4</f>
        <v>12114697560</v>
      </c>
      <c r="K4" s="665">
        <f>SUMIF('Absolute Volume'!$C$7:$C$18,I4,'Absolute Volume'!$R$7:$R$18)</f>
        <v>12114697560.20138</v>
      </c>
      <c r="L4" s="665">
        <f>SUM('Oil:Solar Thermal'!AF12)-Oil!AF12-Coal!AF12-'Natural Gas'!AF12</f>
        <v>12114697560.201403</v>
      </c>
      <c r="M4" s="666">
        <f t="shared" ref="M4" si="0">SUM(J4:L4)/3-J4</f>
        <v>0.13426017761230469</v>
      </c>
      <c r="N4" s="667">
        <f>M4/AVERAGE(J4:L4)</f>
        <v>1.1082420914419985E-11</v>
      </c>
      <c r="O4" s="636"/>
    </row>
    <row r="5" spans="1:15">
      <c r="A5" s="636"/>
      <c r="B5" s="129" t="s">
        <v>8</v>
      </c>
      <c r="C5" s="665">
        <f>'Volume Summary'!$C$5</f>
        <v>7545888272</v>
      </c>
      <c r="D5" s="665">
        <f>SUMIF('Absolute Volume'!$C$7:$C$18,I5,'Absolute Volume'!$Q$7:$Q$18)</f>
        <v>7545888271.8607931</v>
      </c>
      <c r="E5" s="665">
        <f>SUM('Oil:Solar Thermal'!AE11)-Oil!AE11-Coal!AE11-'Natural Gas'!AE11</f>
        <v>7545888271.8603401</v>
      </c>
      <c r="F5" s="666">
        <f t="shared" ref="F5:F8" si="1">SUM(C5:E5)/3-C5</f>
        <v>-9.2955589294433594E-2</v>
      </c>
      <c r="G5" s="667">
        <f t="shared" ref="G5:G46" si="2">F5/AVERAGE(C5:E5)</f>
        <v>-1.2318707346953769E-11</v>
      </c>
      <c r="H5" s="660"/>
      <c r="I5" s="129" t="s">
        <v>8</v>
      </c>
      <c r="J5" s="665">
        <f>'Volume Summary'!$D$5</f>
        <v>205838024360</v>
      </c>
      <c r="K5" s="665">
        <f>SUMIF('Absolute Volume'!$C$7:$C$18,I5,'Absolute Volume'!$R$7:$R$18)</f>
        <v>205838024360.19305</v>
      </c>
      <c r="L5" s="665">
        <f>SUM('Oil:Solar Thermal'!AF11)-Oil!AF11-Coal!AF11-'Natural Gas'!AF11-20000000000000</f>
        <v>205838024360.19141</v>
      </c>
      <c r="M5" s="666">
        <f t="shared" ref="M5" si="3">SUM(J5:L5)/3-J5</f>
        <v>0.128173828125</v>
      </c>
      <c r="N5" s="667">
        <f t="shared" ref="N5:N46" si="4">M5/AVERAGE(J5:L5)</f>
        <v>6.2269266586406223E-13</v>
      </c>
      <c r="O5" s="636"/>
    </row>
    <row r="6" spans="1:15">
      <c r="A6" s="636"/>
      <c r="B6" s="150" t="s">
        <v>10</v>
      </c>
      <c r="C6" s="665">
        <f>'Volume Summary'!$C$6</f>
        <v>316468088</v>
      </c>
      <c r="D6" s="665">
        <f>SUMIF('Absolute Volume'!$C$7:$C$18,I6,'Absolute Volume'!$Q$7:$Q$18)</f>
        <v>316468087.88418168</v>
      </c>
      <c r="E6" s="665">
        <f>SUM('Oil:Solar Thermal'!AE13)-Oil!AE13-Coal!AE13-'Natural Gas'!AE13</f>
        <v>316468087.88418168</v>
      </c>
      <c r="F6" s="666">
        <f t="shared" si="1"/>
        <v>-7.7212154865264893E-2</v>
      </c>
      <c r="G6" s="667">
        <f t="shared" si="2"/>
        <v>-2.4398085561190355E-10</v>
      </c>
      <c r="H6" s="660"/>
      <c r="I6" s="150" t="s">
        <v>10</v>
      </c>
      <c r="J6" s="665">
        <f>'Volume Summary'!$D$6</f>
        <v>1658282724</v>
      </c>
      <c r="K6" s="665">
        <f>SUMIF('Absolute Volume'!$C$7:$C$18,I6,'Absolute Volume'!$R$7:$R$18)</f>
        <v>1658282723.5545363</v>
      </c>
      <c r="L6" s="665">
        <f>SUM('Oil:Solar Thermal'!AF13)-Oil!AF13-Coal!AF13-'Natural Gas'!AF13</f>
        <v>1658282723.5545363</v>
      </c>
      <c r="M6" s="666">
        <f t="shared" ref="M6" si="5">SUM(J6:L6)/3-J6</f>
        <v>-0.29697585105895996</v>
      </c>
      <c r="N6" s="667">
        <f t="shared" si="4"/>
        <v>-1.7908638063586573E-10</v>
      </c>
      <c r="O6" s="636"/>
    </row>
    <row r="7" spans="1:15">
      <c r="A7" s="636"/>
      <c r="B7" s="115" t="s">
        <v>48</v>
      </c>
      <c r="C7" s="665">
        <f>'Volume Summary'!$C$7</f>
        <v>16387437298</v>
      </c>
      <c r="D7" s="115"/>
      <c r="E7" s="115"/>
      <c r="F7" s="666"/>
      <c r="G7" s="667"/>
      <c r="H7" s="660"/>
      <c r="I7" s="115" t="s">
        <v>48</v>
      </c>
      <c r="J7" s="665">
        <f>'Volume Summary'!$D$7</f>
        <v>219610650474</v>
      </c>
      <c r="K7" s="115"/>
      <c r="L7" s="115"/>
      <c r="M7" s="666"/>
      <c r="N7" s="667"/>
      <c r="O7" s="636"/>
    </row>
    <row r="8" spans="1:15">
      <c r="A8" s="636"/>
      <c r="B8" s="668" t="s">
        <v>903</v>
      </c>
      <c r="C8" s="665">
        <f>SUM(C4:C6)</f>
        <v>16387437298</v>
      </c>
      <c r="D8" s="665">
        <f>SUM(D4:D6)</f>
        <v>16387437297.815525</v>
      </c>
      <c r="E8" s="665">
        <f>SUM(E4:E6)</f>
        <v>16387437297.81509</v>
      </c>
      <c r="F8" s="666">
        <f t="shared" si="1"/>
        <v>-0.12312889099121094</v>
      </c>
      <c r="G8" s="667">
        <f t="shared" si="2"/>
        <v>-7.5136147741150059E-12</v>
      </c>
      <c r="H8" s="660"/>
      <c r="I8" s="668" t="s">
        <v>903</v>
      </c>
      <c r="J8" s="665">
        <f>SUM(J4:J6)</f>
        <v>219611004644</v>
      </c>
      <c r="K8" s="665">
        <f t="shared" ref="K8:L8" si="6">SUM(K4:K6)</f>
        <v>219611004643.94897</v>
      </c>
      <c r="L8" s="665">
        <f t="shared" si="6"/>
        <v>219611004643.94736</v>
      </c>
      <c r="M8" s="666">
        <f t="shared" ref="M8" si="7">SUM(J8:L8)/3-J8</f>
        <v>-3.45458984375E-2</v>
      </c>
      <c r="N8" s="667">
        <f t="shared" si="4"/>
        <v>-1.5730495151418299E-13</v>
      </c>
      <c r="O8" s="636"/>
    </row>
    <row r="9" spans="1:15">
      <c r="A9" s="636"/>
      <c r="B9" s="115"/>
      <c r="C9" s="665"/>
      <c r="D9" s="665"/>
      <c r="E9" s="665"/>
      <c r="F9" s="666"/>
      <c r="G9" s="667"/>
      <c r="H9" s="660"/>
      <c r="I9" s="660"/>
      <c r="J9" s="660"/>
      <c r="K9" s="660"/>
      <c r="L9" s="660"/>
      <c r="M9" s="666"/>
      <c r="N9" s="667"/>
      <c r="O9" s="636"/>
    </row>
    <row r="10" spans="1:15">
      <c r="A10" s="636"/>
      <c r="B10" s="669"/>
      <c r="C10" s="662" t="s">
        <v>902</v>
      </c>
      <c r="D10" s="662" t="s">
        <v>901</v>
      </c>
      <c r="E10" s="662" t="s">
        <v>900</v>
      </c>
      <c r="F10" s="666"/>
      <c r="G10" s="667"/>
      <c r="H10" s="660"/>
      <c r="I10" s="669"/>
      <c r="J10" s="670" t="s">
        <v>902</v>
      </c>
      <c r="K10" s="670" t="s">
        <v>901</v>
      </c>
      <c r="L10" s="670" t="s">
        <v>900</v>
      </c>
      <c r="M10" s="666"/>
      <c r="N10" s="667"/>
      <c r="O10" s="636"/>
    </row>
    <row r="11" spans="1:15">
      <c r="A11" s="636"/>
      <c r="B11" s="143" t="s">
        <v>0</v>
      </c>
      <c r="C11" s="671">
        <f>'Volume Summary'!C10</f>
        <v>13254133424</v>
      </c>
      <c r="D11" s="671">
        <f>SUMIF('Absolute Volume'!$D$7:$D$18,I11,'Absolute Volume'!$Q$7:$Q$18)</f>
        <v>13254133424.416821</v>
      </c>
      <c r="E11" s="671">
        <f>SUM('Oil:Solar Thermal'!AE15)-Oil!AE15-Coal!AE15-'Natural Gas'!AE15</f>
        <v>13254133424.416119</v>
      </c>
      <c r="F11" s="666">
        <f t="shared" ref="F11:F14" si="8">SUM(C11:E11)/3-C11</f>
        <v>0.27764701843261719</v>
      </c>
      <c r="G11" s="667">
        <f t="shared" si="2"/>
        <v>2.0947957104766282E-11</v>
      </c>
      <c r="H11" s="660"/>
      <c r="I11" s="143" t="s">
        <v>0</v>
      </c>
      <c r="J11" s="671">
        <f>'Volume Summary'!D10</f>
        <v>179801639595</v>
      </c>
      <c r="K11" s="671">
        <f>SUMIF('Absolute Volume'!$D$7:$D$18,I11,'Absolute Volume'!$R$7:$R$18)</f>
        <v>179801639594.85352</v>
      </c>
      <c r="L11" s="671">
        <f>SUM('Oil:Solar Thermal'!AF15)-Oil!AF15-Coal!AF15-'Natural Gas'!AF15-20000000000000</f>
        <v>179801639594.85938</v>
      </c>
      <c r="M11" s="666">
        <f t="shared" ref="M11" si="9">SUM(J11:L11)/3-J11</f>
        <v>-9.5703125E-2</v>
      </c>
      <c r="N11" s="667">
        <f t="shared" si="4"/>
        <v>-5.3227059116713576E-13</v>
      </c>
      <c r="O11" s="636"/>
    </row>
    <row r="12" spans="1:15">
      <c r="A12" s="636"/>
      <c r="B12" s="134" t="s">
        <v>7</v>
      </c>
      <c r="C12" s="671">
        <f>'Volume Summary'!C11</f>
        <v>487079207</v>
      </c>
      <c r="D12" s="671">
        <f>SUMIF('Absolute Volume'!$D$7:$D$18,I12,'Absolute Volume'!$Q$7:$Q$18)</f>
        <v>487079207.03843099</v>
      </c>
      <c r="E12" s="671">
        <f>SUM('Oil:Solar Thermal'!AE16)-Oil!AE16-Coal!AE16-'Natural Gas'!AE16</f>
        <v>487079207.03837144</v>
      </c>
      <c r="F12" s="666">
        <f t="shared" si="8"/>
        <v>2.5600731372833252E-2</v>
      </c>
      <c r="G12" s="667">
        <f t="shared" si="2"/>
        <v>5.255968845224733E-11</v>
      </c>
      <c r="H12" s="660"/>
      <c r="I12" s="134" t="s">
        <v>7</v>
      </c>
      <c r="J12" s="671">
        <f>'Volume Summary'!D11</f>
        <v>14699543653</v>
      </c>
      <c r="K12" s="671">
        <f>SUMIF('Absolute Volume'!$D$7:$D$18,I12,'Absolute Volume'!$R$7:$R$18)</f>
        <v>14699543652.910278</v>
      </c>
      <c r="L12" s="671">
        <f>SUM('Oil:Solar Thermal'!AF16)-Oil!AF16-Coal!AF16-'Natural Gas'!AF16</f>
        <v>14699543652.910221</v>
      </c>
      <c r="M12" s="666">
        <f t="shared" ref="M12" si="10">SUM(J12:L12)/3-J12</f>
        <v>-5.9835433959960938E-2</v>
      </c>
      <c r="N12" s="667">
        <f t="shared" si="4"/>
        <v>-4.0705640510134347E-12</v>
      </c>
      <c r="O12" s="636"/>
    </row>
    <row r="13" spans="1:15">
      <c r="A13" s="636"/>
      <c r="B13" s="135" t="s">
        <v>1</v>
      </c>
      <c r="C13" s="671">
        <f>'Volume Summary'!C12</f>
        <v>828463827</v>
      </c>
      <c r="D13" s="671">
        <f>SUMIF('Absolute Volume'!$D$7:$D$18,I13,'Absolute Volume'!$Q$7:$Q$18)</f>
        <v>828463826.87904465</v>
      </c>
      <c r="E13" s="671">
        <f>SUM('Oil:Solar Thermal'!AE17)-Oil!AE17-Coal!AE17-'Natural Gas'!AE17</f>
        <v>828463826.87904501</v>
      </c>
      <c r="F13" s="666">
        <f t="shared" si="8"/>
        <v>-8.0636858940124512E-2</v>
      </c>
      <c r="G13" s="667">
        <f t="shared" si="2"/>
        <v>-9.7332987053848928E-11</v>
      </c>
      <c r="H13" s="660"/>
      <c r="I13" s="135" t="s">
        <v>1</v>
      </c>
      <c r="J13" s="671">
        <f>'Volume Summary'!D12</f>
        <v>21808650473</v>
      </c>
      <c r="K13" s="671">
        <f>SUMIF('Absolute Volume'!$D$7:$D$18,I13,'Absolute Volume'!$R$7:$R$18)</f>
        <v>21808650472.999226</v>
      </c>
      <c r="L13" s="671">
        <f>SUM('Oil:Solar Thermal'!AF17)-Oil!AF17-Coal!AF17-'Natural Gas'!AF17</f>
        <v>21808650472.999226</v>
      </c>
      <c r="M13" s="666">
        <f t="shared" ref="M13" si="11">SUM(J13:L13)/3-J13</f>
        <v>-5.18798828125E-4</v>
      </c>
      <c r="N13" s="667">
        <f t="shared" si="4"/>
        <v>-2.3788671782662871E-14</v>
      </c>
      <c r="O13" s="636"/>
    </row>
    <row r="14" spans="1:15">
      <c r="A14" s="636"/>
      <c r="B14" s="145" t="s">
        <v>13</v>
      </c>
      <c r="C14" s="671">
        <f>'Volume Summary'!C13</f>
        <v>1817760839</v>
      </c>
      <c r="D14" s="671">
        <f>SUMIF('Absolute Volume'!$D$7:$D$18,I14,'Absolute Volume'!$Q$7:$Q$18)</f>
        <v>1817760839.4812276</v>
      </c>
      <c r="E14" s="671">
        <f>SUM('Oil:Solar Thermal'!AE18)-Oil!AE18-Coal!AE18-'Natural Gas'!AE18</f>
        <v>1817760839.4812284</v>
      </c>
      <c r="F14" s="666">
        <f t="shared" si="8"/>
        <v>0.32081866264343262</v>
      </c>
      <c r="G14" s="667">
        <f t="shared" si="2"/>
        <v>1.764911289228247E-10</v>
      </c>
      <c r="H14" s="660"/>
      <c r="I14" s="145" t="s">
        <v>13</v>
      </c>
      <c r="J14" s="671">
        <f>'Volume Summary'!D13</f>
        <v>3301170923</v>
      </c>
      <c r="K14" s="671">
        <f>SUMIF('Absolute Volume'!$D$7:$D$18,I14,'Absolute Volume'!$R$7:$R$18)</f>
        <v>3301170923.1859183</v>
      </c>
      <c r="L14" s="671">
        <f>SUM('Oil:Solar Thermal'!AF18)-Oil!AF18-Coal!AF18-'Natural Gas'!AF18</f>
        <v>3301170923.1859183</v>
      </c>
      <c r="M14" s="666">
        <f t="shared" ref="M14" si="12">SUM(J14:L14)/3-J14</f>
        <v>0.12394571304321289</v>
      </c>
      <c r="N14" s="667">
        <f t="shared" si="4"/>
        <v>3.7545984721663932E-11</v>
      </c>
      <c r="O14" s="636"/>
    </row>
    <row r="15" spans="1:15">
      <c r="A15" s="636"/>
      <c r="B15" s="115" t="s">
        <v>48</v>
      </c>
      <c r="C15" s="671">
        <f>'Volume Summary'!C14</f>
        <v>16387437297</v>
      </c>
      <c r="D15" s="669"/>
      <c r="E15" s="669"/>
      <c r="F15" s="666"/>
      <c r="G15" s="667"/>
      <c r="H15" s="660"/>
      <c r="I15" s="115" t="s">
        <v>48</v>
      </c>
      <c r="J15" s="671">
        <f>'Volume Summary'!D14</f>
        <v>219610650474</v>
      </c>
      <c r="K15" s="671"/>
      <c r="L15" s="669"/>
      <c r="M15" s="666"/>
      <c r="N15" s="667"/>
      <c r="O15" s="636"/>
    </row>
    <row r="16" spans="1:15">
      <c r="A16" s="636"/>
      <c r="B16" s="668" t="s">
        <v>903</v>
      </c>
      <c r="C16" s="671">
        <f>SUM(C11:C14)</f>
        <v>16387437297</v>
      </c>
      <c r="D16" s="671">
        <f>SUM(D11:D14)</f>
        <v>16387437297.815525</v>
      </c>
      <c r="E16" s="671">
        <f>SUM(E11:E14)</f>
        <v>16387437297.814764</v>
      </c>
      <c r="F16" s="666">
        <f t="shared" ref="F16" si="13">SUM(C16:E16)/3-C16</f>
        <v>0.54342842102050781</v>
      </c>
      <c r="G16" s="667">
        <f t="shared" si="2"/>
        <v>3.3161281483711358E-11</v>
      </c>
      <c r="H16" s="660"/>
      <c r="I16" s="668" t="s">
        <v>903</v>
      </c>
      <c r="J16" s="671">
        <f>SUM(J11:J14)</f>
        <v>219611004644</v>
      </c>
      <c r="K16" s="671">
        <f>SUM(K11:K14)</f>
        <v>219611004643.94894</v>
      </c>
      <c r="L16" s="671">
        <f>SUM(L11:L14)</f>
        <v>219611004643.95474</v>
      </c>
      <c r="M16" s="666">
        <f t="shared" ref="M16" si="14">SUM(J16:L16)/3-J16</f>
        <v>-3.21044921875E-2</v>
      </c>
      <c r="N16" s="667">
        <f t="shared" si="4"/>
        <v>-1.4618799380999883E-13</v>
      </c>
      <c r="O16" s="636"/>
    </row>
    <row r="17" spans="1:15">
      <c r="A17" s="636"/>
      <c r="B17" s="660"/>
      <c r="C17" s="660"/>
      <c r="D17" s="660"/>
      <c r="E17" s="660"/>
      <c r="F17" s="666"/>
      <c r="G17" s="667"/>
      <c r="H17" s="660"/>
      <c r="I17" s="660"/>
      <c r="J17" s="660"/>
      <c r="K17" s="660"/>
      <c r="L17" s="660"/>
      <c r="M17" s="666"/>
      <c r="N17" s="667"/>
      <c r="O17" s="636"/>
    </row>
    <row r="18" spans="1:15">
      <c r="A18" s="636"/>
      <c r="B18" s="669"/>
      <c r="C18" s="662" t="s">
        <v>902</v>
      </c>
      <c r="D18" s="672" t="s">
        <v>901</v>
      </c>
      <c r="E18" s="662" t="s">
        <v>900</v>
      </c>
      <c r="F18" s="666"/>
      <c r="G18" s="667"/>
      <c r="H18" s="660"/>
      <c r="I18" s="669"/>
      <c r="J18" s="670" t="s">
        <v>902</v>
      </c>
      <c r="K18" s="670" t="s">
        <v>901</v>
      </c>
      <c r="L18" s="670" t="s">
        <v>900</v>
      </c>
      <c r="M18" s="666"/>
      <c r="N18" s="667"/>
      <c r="O18" s="636"/>
    </row>
    <row r="19" spans="1:15">
      <c r="A19" s="636"/>
      <c r="B19" s="638" t="s">
        <v>591</v>
      </c>
      <c r="C19" s="671">
        <f>'Volume Summary'!C17</f>
        <v>10335405494</v>
      </c>
      <c r="D19" s="671">
        <f>'Absolute Volume'!$E$6</f>
        <v>10335405494.064352</v>
      </c>
      <c r="E19" s="671">
        <f>SUM('Oil:Solar Thermal'!AE20)-Oil!AE20-Coal!AE20-'Natural Gas'!AE20</f>
        <v>10335405494.064352</v>
      </c>
      <c r="F19" s="666">
        <f t="shared" ref="F19:F23" si="15">SUM(C19:E19)/3-C19</f>
        <v>4.2901992797851562E-2</v>
      </c>
      <c r="G19" s="667">
        <f t="shared" si="2"/>
        <v>4.1509733529641698E-12</v>
      </c>
      <c r="H19" s="660"/>
      <c r="I19" s="638" t="s">
        <v>591</v>
      </c>
      <c r="J19" s="671">
        <f>'Volume Summary'!D17</f>
        <v>13489543126</v>
      </c>
      <c r="K19" s="671">
        <f>'Absolute Volume'!$F$6</f>
        <v>13489543125.872816</v>
      </c>
      <c r="L19" s="671">
        <f>SUM('Oil:Solar Thermal'!AF20)-Oil!AF20-Coal!AF20-'Natural Gas'!AF20</f>
        <v>13489543125.87282</v>
      </c>
      <c r="M19" s="666">
        <f t="shared" ref="M19" si="16">SUM(J19:L19)/3-J19</f>
        <v>-8.4787368774414062E-2</v>
      </c>
      <c r="N19" s="667">
        <f t="shared" si="4"/>
        <v>-6.2854144119622709E-12</v>
      </c>
      <c r="O19" s="636"/>
    </row>
    <row r="20" spans="1:15">
      <c r="A20" s="636"/>
      <c r="B20" s="639" t="s">
        <v>66</v>
      </c>
      <c r="C20" s="671">
        <f>'Volume Summary'!C18</f>
        <v>127825520</v>
      </c>
      <c r="D20" s="671">
        <f>'Absolute Volume'!$G$6</f>
        <v>127825520.05534494</v>
      </c>
      <c r="E20" s="671">
        <f>SUM('Oil:Solar Thermal'!AE21)-Oil!AE21-Coal!AE21-'Natural Gas'!AE21</f>
        <v>127825520.05534494</v>
      </c>
      <c r="F20" s="666">
        <f t="shared" si="15"/>
        <v>3.6896631121635437E-2</v>
      </c>
      <c r="G20" s="667">
        <f t="shared" si="2"/>
        <v>2.8864839439718522E-10</v>
      </c>
      <c r="H20" s="660"/>
      <c r="I20" s="639" t="s">
        <v>66</v>
      </c>
      <c r="J20" s="671">
        <f>'Volume Summary'!D18</f>
        <v>838575819</v>
      </c>
      <c r="K20" s="671">
        <f>'Absolute Volume'!$H$6</f>
        <v>838575819.22181892</v>
      </c>
      <c r="L20" s="671">
        <f>SUM('Oil:Solar Thermal'!AF21)-Oil!AF21-Coal!AF21-'Natural Gas'!AF21</f>
        <v>838575819.22181892</v>
      </c>
      <c r="M20" s="666">
        <f t="shared" ref="M20" si="17">SUM(J20:L20)/3-J20</f>
        <v>0.14787924289703369</v>
      </c>
      <c r="N20" s="667">
        <f t="shared" si="4"/>
        <v>1.7634570365658947E-10</v>
      </c>
      <c r="O20" s="636"/>
    </row>
    <row r="21" spans="1:15">
      <c r="A21" s="636"/>
      <c r="B21" s="640" t="s">
        <v>67</v>
      </c>
      <c r="C21" s="671">
        <f>'Volume Summary'!C19</f>
        <v>234096560</v>
      </c>
      <c r="D21" s="671">
        <f>'Absolute Volume'!$I$6</f>
        <v>234096559.62936074</v>
      </c>
      <c r="E21" s="671">
        <f>SUM('Oil:Solar Thermal'!AE22)-Oil!AE22-Coal!AE22-'Natural Gas'!AE22</f>
        <v>234096559.62936074</v>
      </c>
      <c r="F21" s="666">
        <f t="shared" si="15"/>
        <v>-0.2470928430557251</v>
      </c>
      <c r="G21" s="667">
        <f t="shared" si="2"/>
        <v>-1.0555167633242271E-9</v>
      </c>
      <c r="H21" s="660"/>
      <c r="I21" s="640" t="s">
        <v>67</v>
      </c>
      <c r="J21" s="671">
        <f>'Volume Summary'!D19</f>
        <v>242918642</v>
      </c>
      <c r="K21" s="671">
        <f>'Absolute Volume'!$J$6</f>
        <v>242918641.61347964</v>
      </c>
      <c r="L21" s="671">
        <f>SUM('Oil:Solar Thermal'!AF22)-Oil!AF22-Coal!AF22-'Natural Gas'!AF22</f>
        <v>242918641.61347961</v>
      </c>
      <c r="M21" s="666">
        <f t="shared" ref="M21" si="18">SUM(J21:L21)/3-J21</f>
        <v>-0.2576802670955658</v>
      </c>
      <c r="N21" s="667">
        <f t="shared" si="4"/>
        <v>-1.0607677749528368E-9</v>
      </c>
      <c r="O21" s="636"/>
    </row>
    <row r="22" spans="1:15">
      <c r="A22" s="636"/>
      <c r="B22" s="641" t="s">
        <v>68</v>
      </c>
      <c r="C22" s="671">
        <f>'Volume Summary'!C20</f>
        <v>5317639485.0019302</v>
      </c>
      <c r="D22" s="671">
        <f>'Absolute Volume'!$K$6</f>
        <v>5317639485.0019302</v>
      </c>
      <c r="E22" s="671">
        <f>SUM('Oil:Solar Thermal'!AE23)</f>
        <v>5317639485.0014963</v>
      </c>
      <c r="F22" s="666">
        <f t="shared" si="15"/>
        <v>-1.4495849609375E-4</v>
      </c>
      <c r="G22" s="667">
        <f t="shared" si="2"/>
        <v>-2.7259933002716775E-14</v>
      </c>
      <c r="H22" s="660"/>
      <c r="I22" s="641" t="s">
        <v>68</v>
      </c>
      <c r="J22" s="671">
        <f>'Volume Summary'!D20</f>
        <v>204962682159</v>
      </c>
      <c r="K22" s="671">
        <f>'Absolute Volume'!$L$6</f>
        <v>204962682159.40186</v>
      </c>
      <c r="L22" s="671">
        <f>SUM('Oil:Solar Thermal'!AF23)-20000000000000</f>
        <v>204962682159.41016</v>
      </c>
      <c r="M22" s="666">
        <f t="shared" ref="M22" si="19">SUM(J22:L22)/3-J22</f>
        <v>0.270660400390625</v>
      </c>
      <c r="N22" s="667">
        <f t="shared" si="4"/>
        <v>1.320535023933296E-12</v>
      </c>
      <c r="O22" s="636"/>
    </row>
    <row r="23" spans="1:15">
      <c r="A23" s="636"/>
      <c r="B23" s="642" t="s">
        <v>69</v>
      </c>
      <c r="C23" s="671">
        <f>'Volume Summary'!C25</f>
        <v>372470239.06453657</v>
      </c>
      <c r="D23" s="671">
        <f>'Absolute Volume'!$M$6</f>
        <v>372470239.06453657</v>
      </c>
      <c r="E23" s="671">
        <f>SUM('Oil:Solar Thermal'!AE24)</f>
        <v>372470239.06453651</v>
      </c>
      <c r="F23" s="666">
        <f t="shared" si="15"/>
        <v>0</v>
      </c>
      <c r="G23" s="667">
        <f t="shared" si="2"/>
        <v>0</v>
      </c>
      <c r="H23" s="660"/>
      <c r="I23" s="642" t="s">
        <v>69</v>
      </c>
      <c r="J23" s="671">
        <f>'Volume Summary'!D25</f>
        <v>77284898</v>
      </c>
      <c r="K23" s="671">
        <f>'Absolute Volume'!$N$6</f>
        <v>77284897.839027971</v>
      </c>
      <c r="L23" s="671">
        <f>SUM('Oil:Solar Thermal'!AF24)</f>
        <v>77284897.839027956</v>
      </c>
      <c r="M23" s="666">
        <f t="shared" ref="M23" si="20">SUM(J23:L23)/3-J23</f>
        <v>-0.10731469094753265</v>
      </c>
      <c r="N23" s="667">
        <f t="shared" si="4"/>
        <v>-1.3885596523210201E-9</v>
      </c>
      <c r="O23" s="636"/>
    </row>
    <row r="24" spans="1:15">
      <c r="A24" s="636"/>
      <c r="B24" s="115" t="s">
        <v>48</v>
      </c>
      <c r="C24" s="671">
        <f>'Volume Summary'!C26</f>
        <v>16387437298.066467</v>
      </c>
      <c r="D24" s="671">
        <f>'Absolute Volume'!$Q$6</f>
        <v>16387437297.815525</v>
      </c>
      <c r="E24" s="669"/>
      <c r="F24" s="666"/>
      <c r="G24" s="667"/>
      <c r="H24" s="660"/>
      <c r="I24" s="115" t="s">
        <v>48</v>
      </c>
      <c r="J24" s="671">
        <f>'Volume Summary'!D26</f>
        <v>219611004644</v>
      </c>
      <c r="K24" s="671">
        <f>'Absolute Volume'!$R$6</f>
        <v>219611004643.94894</v>
      </c>
      <c r="L24" s="669"/>
      <c r="M24" s="666"/>
      <c r="N24" s="667"/>
      <c r="O24" s="636"/>
    </row>
    <row r="25" spans="1:15">
      <c r="A25" s="636"/>
      <c r="B25" s="668" t="s">
        <v>903</v>
      </c>
      <c r="C25" s="671">
        <f>SUM(C19:C23)</f>
        <v>16387437298.066467</v>
      </c>
      <c r="D25" s="671">
        <f>SUM(D19:D23)</f>
        <v>16387437297.815525</v>
      </c>
      <c r="E25" s="669">
        <f>SUM(E19:E23)</f>
        <v>16387437297.81509</v>
      </c>
      <c r="F25" s="666">
        <f t="shared" ref="F25" si="21">SUM(C25:E25)/3-C25</f>
        <v>-0.16744041442871094</v>
      </c>
      <c r="G25" s="667">
        <f t="shared" si="2"/>
        <v>-1.0217608243735453E-11</v>
      </c>
      <c r="H25" s="660"/>
      <c r="I25" s="668" t="s">
        <v>903</v>
      </c>
      <c r="J25" s="671">
        <f>SUM(J19:J23)</f>
        <v>219611004644</v>
      </c>
      <c r="K25" s="671">
        <f>SUM(K19:K23)</f>
        <v>219611004643.94901</v>
      </c>
      <c r="L25" s="671">
        <f>SUM(L19:L23)</f>
        <v>219611004643.95731</v>
      </c>
      <c r="M25" s="666">
        <f t="shared" ref="M25" si="22">SUM(J25:L25)/3-J25</f>
        <v>-3.125E-2</v>
      </c>
      <c r="N25" s="667">
        <f t="shared" si="4"/>
        <v>-1.4229705861353441E-13</v>
      </c>
      <c r="O25" s="636"/>
    </row>
    <row r="26" spans="1:15">
      <c r="A26" s="636"/>
      <c r="B26" s="660"/>
      <c r="C26" s="660"/>
      <c r="D26" s="660"/>
      <c r="E26" s="660"/>
      <c r="F26" s="666"/>
      <c r="G26" s="667"/>
      <c r="H26" s="660"/>
      <c r="I26" s="660"/>
      <c r="J26" s="660"/>
      <c r="K26" s="660"/>
      <c r="L26" s="660"/>
      <c r="M26" s="666"/>
      <c r="N26" s="667"/>
      <c r="O26" s="636"/>
    </row>
    <row r="27" spans="1:15">
      <c r="A27" s="636"/>
      <c r="B27" s="115"/>
      <c r="C27" s="662" t="s">
        <v>902</v>
      </c>
      <c r="D27" s="662" t="s">
        <v>901</v>
      </c>
      <c r="E27" s="662" t="s">
        <v>900</v>
      </c>
      <c r="F27" s="666"/>
      <c r="G27" s="667"/>
      <c r="H27" s="660"/>
      <c r="I27" s="115"/>
      <c r="J27" s="664" t="s">
        <v>902</v>
      </c>
      <c r="K27" s="664" t="s">
        <v>901</v>
      </c>
      <c r="L27" s="664" t="s">
        <v>900</v>
      </c>
      <c r="M27" s="666"/>
      <c r="N27" s="667"/>
      <c r="O27" s="636"/>
    </row>
    <row r="28" spans="1:15">
      <c r="A28" s="636"/>
      <c r="B28" s="649" t="s">
        <v>16</v>
      </c>
      <c r="C28" s="665">
        <f>'Volume Summary'!C29</f>
        <v>2853393578.0999999</v>
      </c>
      <c r="D28" s="665">
        <f>'Absolute Volume'!$Q$22</f>
        <v>2853393578.0981493</v>
      </c>
      <c r="E28" s="665">
        <f>'Conventional Oil'!$C$13</f>
        <v>2853393578.0981503</v>
      </c>
      <c r="F28" s="666">
        <f t="shared" ref="F28" si="23">SUM(C28:E28)/3-C28</f>
        <v>-1.2335777282714844E-3</v>
      </c>
      <c r="G28" s="667">
        <f t="shared" si="2"/>
        <v>-4.3231951516952135E-13</v>
      </c>
      <c r="H28" s="660"/>
      <c r="I28" s="649" t="s">
        <v>16</v>
      </c>
      <c r="J28" s="665">
        <f>'Volume Summary'!D29</f>
        <v>7078532086</v>
      </c>
      <c r="K28" s="665">
        <f>'Absolute Volume'!$R$22</f>
        <v>7078532086.4388895</v>
      </c>
      <c r="L28" s="665">
        <f>'Conventional Oil'!$O$13</f>
        <v>7078532086.4388885</v>
      </c>
      <c r="M28" s="666">
        <f t="shared" ref="M28:M46" si="24">SUM(J28:L28)/3-J28</f>
        <v>0.29259204864501953</v>
      </c>
      <c r="N28" s="667">
        <f t="shared" si="4"/>
        <v>4.1335130656766681E-11</v>
      </c>
      <c r="O28" s="636"/>
    </row>
    <row r="29" spans="1:15">
      <c r="A29" s="636"/>
      <c r="B29" s="648" t="s">
        <v>17</v>
      </c>
      <c r="C29" s="665">
        <f>'Volume Summary'!C30</f>
        <v>320728847.89999998</v>
      </c>
      <c r="D29" s="665">
        <f>'Absolute Volume'!$Q$38</f>
        <v>320728847.90550143</v>
      </c>
      <c r="E29" s="665">
        <f>'Unconventional Oil'!$C$13</f>
        <v>320728847.90550143</v>
      </c>
      <c r="F29" s="666">
        <f t="shared" ref="F29:F39" si="25">SUM(C29:E29)/3-C29</f>
        <v>3.6676526069641113E-3</v>
      </c>
      <c r="G29" s="667">
        <f t="shared" si="2"/>
        <v>1.143536863283875E-11</v>
      </c>
      <c r="H29" s="660"/>
      <c r="I29" s="648" t="s">
        <v>17</v>
      </c>
      <c r="J29" s="665">
        <f>'Volume Summary'!D30</f>
        <v>1059681033</v>
      </c>
      <c r="K29" s="665">
        <f>'Absolute Volume'!$R$38</f>
        <v>1059681033.0321797</v>
      </c>
      <c r="L29" s="665">
        <f>'Unconventional Oil'!$O$13</f>
        <v>1059681033.0321797</v>
      </c>
      <c r="M29" s="666">
        <f t="shared" si="24"/>
        <v>2.1453261375427246E-2</v>
      </c>
      <c r="N29" s="667">
        <f t="shared" si="4"/>
        <v>2.024501779960888E-11</v>
      </c>
      <c r="O29" s="636"/>
    </row>
    <row r="30" spans="1:15">
      <c r="A30" s="636"/>
      <c r="B30" s="643" t="s">
        <v>142</v>
      </c>
      <c r="C30" s="665">
        <f>'Volume Summary'!C31</f>
        <v>3682531436.5</v>
      </c>
      <c r="D30" s="665">
        <f>'Absolute Volume'!$Q$54</f>
        <v>3682531436.5427175</v>
      </c>
      <c r="E30" s="665">
        <f>Ethanol!$C$13</f>
        <v>3682531436.542717</v>
      </c>
      <c r="F30" s="666">
        <f t="shared" si="25"/>
        <v>2.8478145599365234E-2</v>
      </c>
      <c r="G30" s="667">
        <f t="shared" si="2"/>
        <v>7.7333068543229005E-12</v>
      </c>
      <c r="H30" s="660"/>
      <c r="I30" s="643" t="s">
        <v>142</v>
      </c>
      <c r="J30" s="665">
        <f>'Volume Summary'!D31</f>
        <v>4547189422</v>
      </c>
      <c r="K30" s="665">
        <f>'Absolute Volume'!$R$54</f>
        <v>4547189422.4995365</v>
      </c>
      <c r="L30" s="665">
        <f>Ethanol!$O$13</f>
        <v>4547189422.4995365</v>
      </c>
      <c r="M30" s="666">
        <f t="shared" si="24"/>
        <v>0.33302402496337891</v>
      </c>
      <c r="N30" s="667">
        <f t="shared" si="4"/>
        <v>7.3237332785779236E-11</v>
      </c>
      <c r="O30" s="636"/>
    </row>
    <row r="31" spans="1:15">
      <c r="A31" s="636"/>
      <c r="B31" s="647" t="s">
        <v>143</v>
      </c>
      <c r="C31" s="665">
        <f>'Volume Summary'!C32</f>
        <v>494875863.69999999</v>
      </c>
      <c r="D31" s="665">
        <f>'Absolute Volume'!$Q$70</f>
        <v>494875863.73132777</v>
      </c>
      <c r="E31" s="665">
        <f>Biodiesel!$C$13</f>
        <v>494875863.73132777</v>
      </c>
      <c r="F31" s="666">
        <f t="shared" si="25"/>
        <v>2.0885229110717773E-2</v>
      </c>
      <c r="G31" s="667">
        <f t="shared" si="2"/>
        <v>4.2202965716867625E-11</v>
      </c>
      <c r="H31" s="660"/>
      <c r="I31" s="647" t="s">
        <v>143</v>
      </c>
      <c r="J31" s="665">
        <f>'Volume Summary'!D32</f>
        <v>621688756</v>
      </c>
      <c r="K31" s="665">
        <f>'Absolute Volume'!$R$70</f>
        <v>621688755.91610694</v>
      </c>
      <c r="L31" s="665">
        <f>Biodiesel!$O$13</f>
        <v>621688755.9161067</v>
      </c>
      <c r="M31" s="666">
        <f t="shared" si="24"/>
        <v>-5.5928826332092285E-2</v>
      </c>
      <c r="N31" s="667">
        <f t="shared" si="4"/>
        <v>-8.9962743892900311E-11</v>
      </c>
      <c r="O31" s="636"/>
    </row>
    <row r="32" spans="1:15">
      <c r="A32" s="636"/>
      <c r="B32" s="646" t="s">
        <v>73</v>
      </c>
      <c r="C32" s="665">
        <f>'Volume Summary'!C33</f>
        <v>1139103192.0999999</v>
      </c>
      <c r="D32" s="665">
        <f>'Absolute Volume'!$Q$86</f>
        <v>1139103192.1474469</v>
      </c>
      <c r="E32" s="665">
        <f>'Subbituminous Coal'!$C$13</f>
        <v>1139103192.1474469</v>
      </c>
      <c r="F32" s="666">
        <f t="shared" si="25"/>
        <v>3.1631231307983398E-2</v>
      </c>
      <c r="G32" s="667">
        <f t="shared" si="2"/>
        <v>2.776853890540954E-11</v>
      </c>
      <c r="H32" s="660"/>
      <c r="I32" s="646" t="s">
        <v>73</v>
      </c>
      <c r="J32" s="665">
        <f>'Volume Summary'!D33</f>
        <v>53594116670</v>
      </c>
      <c r="K32" s="665">
        <f>'Absolute Volume'!$R$86</f>
        <v>53594116670.471786</v>
      </c>
      <c r="L32" s="665">
        <f>'Subbituminous Coal'!$O$13</f>
        <v>53594116670.471786</v>
      </c>
      <c r="M32" s="666">
        <f t="shared" si="24"/>
        <v>0.31452178955078125</v>
      </c>
      <c r="N32" s="667">
        <f t="shared" si="4"/>
        <v>5.8685879923270215E-12</v>
      </c>
      <c r="O32" s="636"/>
    </row>
    <row r="33" spans="1:15">
      <c r="A33" s="636"/>
      <c r="B33" s="645" t="s">
        <v>74</v>
      </c>
      <c r="C33" s="665">
        <f>'Volume Summary'!C34</f>
        <v>1700484017.5</v>
      </c>
      <c r="D33" s="665">
        <f>'Absolute Volume'!$Q$102</f>
        <v>1700484017.529074</v>
      </c>
      <c r="E33" s="665">
        <f>'Bituminous Coal'!$C$13</f>
        <v>1700484017.5290737</v>
      </c>
      <c r="F33" s="666">
        <f t="shared" si="25"/>
        <v>1.9382476806640625E-2</v>
      </c>
      <c r="G33" s="667">
        <f t="shared" si="2"/>
        <v>1.139821168970187E-11</v>
      </c>
      <c r="H33" s="660"/>
      <c r="I33" s="645" t="s">
        <v>74</v>
      </c>
      <c r="J33" s="665">
        <f>'Volume Summary'!D34</f>
        <v>50008063326</v>
      </c>
      <c r="K33" s="665">
        <f>'Absolute Volume'!$R$102</f>
        <v>50008063326.469315</v>
      </c>
      <c r="L33" s="665">
        <f>'Bituminous Coal'!$O$13</f>
        <v>50008063326.469315</v>
      </c>
      <c r="M33" s="666">
        <f t="shared" si="24"/>
        <v>0.31287384033203125</v>
      </c>
      <c r="N33" s="667">
        <f t="shared" si="4"/>
        <v>6.2564678478041677E-12</v>
      </c>
      <c r="O33" s="636"/>
    </row>
    <row r="34" spans="1:15">
      <c r="A34" s="636"/>
      <c r="B34" s="644" t="s">
        <v>20</v>
      </c>
      <c r="C34" s="665">
        <f>'Volume Summary'!C35</f>
        <v>159142193.09999999</v>
      </c>
      <c r="D34" s="665">
        <f>'Absolute Volume'!$Q$118</f>
        <v>159142193.1424484</v>
      </c>
      <c r="E34" s="665">
        <f>'Lignite Coal'!$C$13</f>
        <v>159142193.1424484</v>
      </c>
      <c r="F34" s="666">
        <f t="shared" si="25"/>
        <v>2.8298914432525635E-2</v>
      </c>
      <c r="G34" s="667">
        <f t="shared" si="2"/>
        <v>1.7782156872572015E-10</v>
      </c>
      <c r="H34" s="660"/>
      <c r="I34" s="644" t="s">
        <v>20</v>
      </c>
      <c r="J34" s="665">
        <f>'Volume Summary'!D35</f>
        <v>6487629334</v>
      </c>
      <c r="K34" s="665">
        <f>'Absolute Volume'!$R$118</f>
        <v>6487629333.5420122</v>
      </c>
      <c r="L34" s="665">
        <f>'Lignite Coal'!$O$13</f>
        <v>6487629333.5420122</v>
      </c>
      <c r="M34" s="666">
        <f t="shared" si="24"/>
        <v>-0.30532550811767578</v>
      </c>
      <c r="N34" s="667">
        <f t="shared" si="4"/>
        <v>-4.7062723903154055E-11</v>
      </c>
      <c r="O34" s="636"/>
    </row>
    <row r="35" spans="1:15">
      <c r="A35" s="636"/>
      <c r="B35" s="650" t="s">
        <v>18</v>
      </c>
      <c r="C35" s="665">
        <f>'Volume Summary'!C36</f>
        <v>696124262</v>
      </c>
      <c r="D35" s="665">
        <f>'Absolute Volume'!$Q$134</f>
        <v>696124261.56534851</v>
      </c>
      <c r="E35" s="665">
        <f>'Conventional Natural Gas'!$C$13</f>
        <v>696124261.56534839</v>
      </c>
      <c r="F35" s="666">
        <f t="shared" si="25"/>
        <v>-0.28976762294769287</v>
      </c>
      <c r="G35" s="667">
        <f t="shared" si="2"/>
        <v>-4.1625847407730649E-10</v>
      </c>
      <c r="H35" s="660"/>
      <c r="I35" s="650" t="s">
        <v>18</v>
      </c>
      <c r="J35" s="665">
        <f>'Volume Summary'!D36</f>
        <v>9376612861</v>
      </c>
      <c r="K35" s="665">
        <f>'Absolute Volume'!$R$134</f>
        <v>9376612861.4769344</v>
      </c>
      <c r="L35" s="665">
        <f>'Conventional Natural Gas'!$O$13</f>
        <v>9376612861.4769344</v>
      </c>
      <c r="M35" s="666">
        <f t="shared" si="24"/>
        <v>0.31795692443847656</v>
      </c>
      <c r="N35" s="667">
        <f t="shared" si="4"/>
        <v>3.3909571520241391E-11</v>
      </c>
      <c r="O35" s="636"/>
    </row>
    <row r="36" spans="1:15">
      <c r="A36" s="636"/>
      <c r="B36" s="651" t="s">
        <v>19</v>
      </c>
      <c r="C36" s="665">
        <f>'Volume Summary'!C37</f>
        <v>980869718</v>
      </c>
      <c r="D36" s="665">
        <f>'Absolute Volume'!$Q$150</f>
        <v>980869717.88152897</v>
      </c>
      <c r="E36" s="665">
        <f>'Unconventional Natural Gas'!$C$13</f>
        <v>980869717.88152909</v>
      </c>
      <c r="F36" s="666">
        <f t="shared" si="25"/>
        <v>-7.8980803489685059E-2</v>
      </c>
      <c r="G36" s="667">
        <f t="shared" si="2"/>
        <v>-8.0521196695813063E-11</v>
      </c>
      <c r="H36" s="660"/>
      <c r="I36" s="651" t="s">
        <v>19</v>
      </c>
      <c r="J36" s="665">
        <f>'Volume Summary'!D37</f>
        <v>9208311343</v>
      </c>
      <c r="K36" s="665">
        <f>'Absolute Volume'!$R$150</f>
        <v>9208311343.245224</v>
      </c>
      <c r="L36" s="665">
        <f>'Unconventional Natural Gas'!$O$13</f>
        <v>9208311343.2452259</v>
      </c>
      <c r="M36" s="666">
        <f t="shared" si="24"/>
        <v>0.163482666015625</v>
      </c>
      <c r="N36" s="667">
        <f t="shared" si="4"/>
        <v>1.7753816082359038E-11</v>
      </c>
      <c r="O36" s="636"/>
    </row>
    <row r="37" spans="1:15">
      <c r="A37" s="636"/>
      <c r="B37" s="652" t="s">
        <v>28</v>
      </c>
      <c r="C37" s="665">
        <f>'Volume Summary'!C38</f>
        <v>1651674465.5999999</v>
      </c>
      <c r="D37" s="665">
        <f>'Absolute Volume'!$Q$166</f>
        <v>1651674465.6008334</v>
      </c>
      <c r="E37" s="665">
        <f>Uranium!$C$13</f>
        <v>1651674465.6008334</v>
      </c>
      <c r="F37" s="666">
        <f t="shared" si="25"/>
        <v>5.5551528930664062E-4</v>
      </c>
      <c r="G37" s="667">
        <f t="shared" si="2"/>
        <v>3.3633461125443571E-13</v>
      </c>
      <c r="H37" s="660"/>
      <c r="I37" s="652" t="s">
        <v>28</v>
      </c>
      <c r="J37" s="665">
        <f>'Volume Summary'!D38</f>
        <v>70611847141</v>
      </c>
      <c r="K37" s="665">
        <f>'Absolute Volume'!$R$166</f>
        <v>70611847140.527817</v>
      </c>
      <c r="L37" s="665">
        <f>Uranium!$O$13</f>
        <v>70611847140.527802</v>
      </c>
      <c r="M37" s="666">
        <f t="shared" si="24"/>
        <v>-0.314788818359375</v>
      </c>
      <c r="N37" s="667">
        <f t="shared" si="4"/>
        <v>-4.4580170482185227E-12</v>
      </c>
      <c r="O37" s="636"/>
    </row>
    <row r="38" spans="1:15">
      <c r="A38" s="636"/>
      <c r="B38" s="653" t="s">
        <v>29</v>
      </c>
      <c r="C38" s="665">
        <f>'Volume Summary'!C39</f>
        <v>2346976960</v>
      </c>
      <c r="D38" s="665">
        <f>'Absolute Volume'!$Q$182</f>
        <v>2346976960</v>
      </c>
      <c r="E38" s="665">
        <f>Hydropower!$C$13</f>
        <v>2346976960</v>
      </c>
      <c r="F38" s="666">
        <f t="shared" si="25"/>
        <v>0</v>
      </c>
      <c r="G38" s="667">
        <f t="shared" si="2"/>
        <v>0</v>
      </c>
      <c r="H38" s="660"/>
      <c r="I38" s="653" t="s">
        <v>29</v>
      </c>
      <c r="J38" s="665">
        <f>'Volume Summary'!D39</f>
        <v>2346976960</v>
      </c>
      <c r="K38" s="665">
        <f>'Absolute Volume'!$R$182-20000000000000</f>
        <v>2346976960</v>
      </c>
      <c r="L38" s="665">
        <f>Hydropower!$O$13-20000000000000</f>
        <v>2346976960</v>
      </c>
      <c r="M38" s="666">
        <f t="shared" si="24"/>
        <v>0</v>
      </c>
      <c r="N38" s="667">
        <f t="shared" si="4"/>
        <v>0</v>
      </c>
      <c r="O38" s="636"/>
    </row>
    <row r="39" spans="1:15">
      <c r="A39" s="636"/>
      <c r="B39" s="654" t="s">
        <v>5</v>
      </c>
      <c r="C39" s="665">
        <f>'Volume Summary'!C40</f>
        <v>1961874</v>
      </c>
      <c r="D39" s="665">
        <f>'Absolute Volume'!$Q$198</f>
        <v>1961874</v>
      </c>
      <c r="E39" s="665">
        <f>Wind!$C$13</f>
        <v>1961874</v>
      </c>
      <c r="F39" s="666">
        <f t="shared" si="25"/>
        <v>0</v>
      </c>
      <c r="G39" s="667">
        <f t="shared" si="2"/>
        <v>0</v>
      </c>
      <c r="H39" s="660"/>
      <c r="I39" s="654" t="s">
        <v>5</v>
      </c>
      <c r="J39" s="665">
        <f>'Volume Summary'!D40</f>
        <v>19618740</v>
      </c>
      <c r="K39" s="665">
        <f>'Absolute Volume'!$R$198</f>
        <v>19618740</v>
      </c>
      <c r="L39" s="665">
        <f>Wind!$O$13</f>
        <v>19618740</v>
      </c>
      <c r="M39" s="666">
        <f t="shared" si="24"/>
        <v>0</v>
      </c>
      <c r="N39" s="667">
        <f t="shared" si="4"/>
        <v>0</v>
      </c>
      <c r="O39" s="636"/>
    </row>
    <row r="40" spans="1:15">
      <c r="A40" s="636"/>
      <c r="B40" s="655" t="s">
        <v>288</v>
      </c>
      <c r="C40" s="665">
        <f>'Volume Summary'!C41</f>
        <v>180074745.09999999</v>
      </c>
      <c r="D40" s="665">
        <f>'Absolute Volume'!$Q$214</f>
        <v>180074745.08092725</v>
      </c>
      <c r="E40" s="665">
        <f>'Solid Biomass and RDF'!$C$13</f>
        <v>180074745.08092722</v>
      </c>
      <c r="F40" s="666">
        <f t="shared" ref="F40" si="26">SUM(C40:E40)/3-C40</f>
        <v>-1.2715160846710205E-2</v>
      </c>
      <c r="G40" s="667">
        <f t="shared" si="2"/>
        <v>-7.0610461453364734E-11</v>
      </c>
      <c r="H40" s="660"/>
      <c r="I40" s="655" t="s">
        <v>288</v>
      </c>
      <c r="J40" s="665">
        <f>'Volume Summary'!D41</f>
        <v>4364800898</v>
      </c>
      <c r="K40" s="665">
        <f>'Absolute Volume'!$R$214</f>
        <v>4364800898.3587284</v>
      </c>
      <c r="L40" s="665">
        <f>'Solid Biomass and RDF'!$O$13</f>
        <v>4364800898.3587284</v>
      </c>
      <c r="M40" s="666">
        <f t="shared" si="24"/>
        <v>0.23915195465087891</v>
      </c>
      <c r="N40" s="667">
        <f t="shared" si="4"/>
        <v>5.4791034053204485E-11</v>
      </c>
      <c r="O40" s="636"/>
    </row>
    <row r="41" spans="1:15">
      <c r="A41" s="636"/>
      <c r="B41" s="658" t="s">
        <v>374</v>
      </c>
      <c r="C41" s="665">
        <f>'Volume Summary'!C42</f>
        <v>2778556.1</v>
      </c>
      <c r="D41" s="665">
        <f>'Absolute Volume'!$Q$230</f>
        <v>2778556.1422072342</v>
      </c>
      <c r="E41" s="665">
        <f>Biogas!$C$13</f>
        <v>2778556.1422072342</v>
      </c>
      <c r="F41" s="666">
        <f t="shared" ref="F41" si="27">SUM(C41:E41)/3-C41</f>
        <v>2.8138156048953533E-2</v>
      </c>
      <c r="G41" s="667">
        <f t="shared" si="2"/>
        <v>1.0126898558571944E-8</v>
      </c>
      <c r="H41" s="660"/>
      <c r="I41" s="658" t="s">
        <v>374</v>
      </c>
      <c r="J41" s="665">
        <f>'Volume Summary'!D42</f>
        <v>103521135</v>
      </c>
      <c r="K41" s="665">
        <f>'Absolute Volume'!$R$230</f>
        <v>103521134.65952097</v>
      </c>
      <c r="L41" s="665">
        <f>Biogas!$O$13</f>
        <v>103521134.65952097</v>
      </c>
      <c r="M41" s="666">
        <f t="shared" si="24"/>
        <v>-0.22698600590229034</v>
      </c>
      <c r="N41" s="667">
        <f t="shared" si="4"/>
        <v>-2.1926537648567327E-9</v>
      </c>
      <c r="O41" s="636"/>
    </row>
    <row r="42" spans="1:15">
      <c r="A42" s="636"/>
      <c r="B42" s="659" t="s">
        <v>6</v>
      </c>
      <c r="C42" s="665">
        <f>'Volume Summary'!C43</f>
        <v>168317795.09999999</v>
      </c>
      <c r="D42" s="665">
        <f>'Absolute Volume'!$Q$246</f>
        <v>168317795.07614988</v>
      </c>
      <c r="E42" s="665">
        <f>Geothermal!$C$13</f>
        <v>168317795.07571748</v>
      </c>
      <c r="F42" s="666">
        <f t="shared" ref="F42" si="28">SUM(C42:E42)/3-C42</f>
        <v>-1.604422926902771E-2</v>
      </c>
      <c r="G42" s="667">
        <f t="shared" si="2"/>
        <v>-9.5321051829516654E-11</v>
      </c>
      <c r="H42" s="660"/>
      <c r="I42" s="659" t="s">
        <v>6</v>
      </c>
      <c r="J42" s="665">
        <f>'Volume Summary'!D43</f>
        <v>168505329</v>
      </c>
      <c r="K42" s="665">
        <f>'Absolute Volume'!$R$246</f>
        <v>168505328.89212263</v>
      </c>
      <c r="L42" s="665">
        <f>Geothermal!$O$13</f>
        <v>168505328.89169019</v>
      </c>
      <c r="M42" s="666">
        <f t="shared" si="24"/>
        <v>-7.2062402963638306E-2</v>
      </c>
      <c r="N42" s="667">
        <f t="shared" si="4"/>
        <v>-4.2765652233144661E-10</v>
      </c>
      <c r="O42" s="636"/>
    </row>
    <row r="43" spans="1:15">
      <c r="A43" s="636"/>
      <c r="B43" s="656" t="s">
        <v>38</v>
      </c>
      <c r="C43" s="665">
        <f>'Volume Summary'!C44</f>
        <v>169190.6</v>
      </c>
      <c r="D43" s="665">
        <f>'Absolute Volume'!$Q$262</f>
        <v>169190.55555555553</v>
      </c>
      <c r="E43" s="665">
        <f>'Solar Photovoltaic'!$C$13</f>
        <v>169190.55555555553</v>
      </c>
      <c r="F43" s="666">
        <f t="shared" ref="F43:F44" si="29">SUM(C43:E43)/3-C43</f>
        <v>-2.9629629629198462E-2</v>
      </c>
      <c r="G43" s="667">
        <f t="shared" si="2"/>
        <v>-1.7512577423397216E-7</v>
      </c>
      <c r="H43" s="660"/>
      <c r="I43" s="656" t="s">
        <v>38</v>
      </c>
      <c r="J43" s="665">
        <f>'Volume Summary'!D44</f>
        <v>169191</v>
      </c>
      <c r="K43" s="665">
        <f>'Absolute Volume'!$R$262</f>
        <v>169190.55555555553</v>
      </c>
      <c r="L43" s="665">
        <f>'Solar Photovoltaic'!$O$13</f>
        <v>169190.55555555553</v>
      </c>
      <c r="M43" s="666">
        <f t="shared" si="24"/>
        <v>-0.29629629632108845</v>
      </c>
      <c r="N43" s="667">
        <f t="shared" si="4"/>
        <v>-1.7512563624061713E-6</v>
      </c>
      <c r="O43" s="636"/>
    </row>
    <row r="44" spans="1:15">
      <c r="A44" s="636"/>
      <c r="B44" s="657" t="s">
        <v>39</v>
      </c>
      <c r="C44" s="665">
        <f>'Volume Summary'!C45</f>
        <v>8230602.7999999998</v>
      </c>
      <c r="D44" s="665">
        <f>'Absolute Volume'!$Q$278</f>
        <v>8230602.8163088858</v>
      </c>
      <c r="E44" s="665">
        <f>'Solar Thermal'!$C$13</f>
        <v>8230602.8163088858</v>
      </c>
      <c r="F44" s="666">
        <f t="shared" si="29"/>
        <v>1.0872591286897659E-2</v>
      </c>
      <c r="G44" s="667">
        <f t="shared" si="2"/>
        <v>1.3209957443864273E-9</v>
      </c>
      <c r="H44" s="660"/>
      <c r="I44" s="657" t="s">
        <v>39</v>
      </c>
      <c r="J44" s="665">
        <f>'Volume Summary'!D45</f>
        <v>13740418</v>
      </c>
      <c r="K44" s="665">
        <f>'Absolute Volume'!$R$278</f>
        <v>13740417.870376095</v>
      </c>
      <c r="L44" s="665">
        <f>'Solar Thermal'!$O$13</f>
        <v>13740417.870376095</v>
      </c>
      <c r="M44" s="666">
        <f t="shared" si="24"/>
        <v>-8.6415937170386314E-2</v>
      </c>
      <c r="N44" s="667">
        <f t="shared" si="4"/>
        <v>-6.2891782268830207E-9</v>
      </c>
      <c r="O44" s="636"/>
    </row>
    <row r="45" spans="1:15">
      <c r="A45" s="636"/>
      <c r="B45" s="115" t="s">
        <v>48</v>
      </c>
      <c r="C45" s="665">
        <f>'Volume Summary'!C46</f>
        <v>16387437298.200001</v>
      </c>
      <c r="D45" s="660"/>
      <c r="E45" s="660"/>
      <c r="F45" s="666"/>
      <c r="G45" s="667"/>
      <c r="H45" s="660"/>
      <c r="I45" s="115" t="s">
        <v>48</v>
      </c>
      <c r="J45" s="665">
        <f>'Volume Summary'!D46</f>
        <v>219611004644</v>
      </c>
      <c r="K45" s="660"/>
      <c r="L45" s="660"/>
      <c r="M45" s="666"/>
      <c r="N45" s="667"/>
      <c r="O45" s="636"/>
    </row>
    <row r="46" spans="1:15">
      <c r="A46" s="636"/>
      <c r="B46" s="668" t="s">
        <v>903</v>
      </c>
      <c r="C46" s="665">
        <f>SUM(C28:C44)</f>
        <v>16387437298.200001</v>
      </c>
      <c r="D46" s="665">
        <f>SUM(D28:D44)</f>
        <v>16387437297.815523</v>
      </c>
      <c r="E46" s="665">
        <f>SUM(E28:E44)</f>
        <v>16387437297.815092</v>
      </c>
      <c r="F46" s="666">
        <f t="shared" ref="F46" si="30">SUM(C46:E46)/3-C46</f>
        <v>-0.25646018981933594</v>
      </c>
      <c r="G46" s="667">
        <f t="shared" si="2"/>
        <v>-1.5649804490877845E-11</v>
      </c>
      <c r="H46" s="660"/>
      <c r="I46" s="668" t="s">
        <v>903</v>
      </c>
      <c r="J46" s="673">
        <f>SUM(J28:J44)</f>
        <v>219611004643</v>
      </c>
      <c r="K46" s="673">
        <f>SUM(K28:K44)</f>
        <v>219611004643.95609</v>
      </c>
      <c r="L46" s="673">
        <f>SUM(L28:L44)</f>
        <v>219611004643.95563</v>
      </c>
      <c r="M46" s="666">
        <f t="shared" si="24"/>
        <v>0.63720703125</v>
      </c>
      <c r="N46" s="667">
        <f t="shared" si="4"/>
        <v>2.9015259607959806E-12</v>
      </c>
      <c r="O46" s="636"/>
    </row>
    <row r="47" spans="1:15" ht="17" customHeight="1">
      <c r="A47" s="636"/>
      <c r="B47" s="636"/>
      <c r="C47" s="636"/>
      <c r="D47" s="636"/>
      <c r="E47" s="636"/>
      <c r="F47" s="636"/>
      <c r="G47" s="636"/>
      <c r="H47" s="636"/>
      <c r="I47" s="636"/>
      <c r="J47" s="637"/>
      <c r="K47" s="637"/>
      <c r="L47" s="637"/>
      <c r="M47" s="636"/>
      <c r="N47" s="636"/>
      <c r="O47" s="636"/>
    </row>
    <row r="64" spans="2:7">
      <c r="B64" s="634"/>
      <c r="C64" s="635"/>
      <c r="D64" s="635"/>
      <c r="E64" s="635"/>
      <c r="F64" s="22"/>
      <c r="G64" s="53"/>
    </row>
  </sheetData>
  <sheetProtection sheet="1" objects="1" scenarios="1" formatCells="0" formatColumns="0" formatRows="0" sort="0" autoFilter="0" pivotTables="0"/>
  <mergeCells count="2">
    <mergeCell ref="J2:L2"/>
    <mergeCell ref="C2:E2"/>
  </mergeCells>
  <phoneticPr fontId="55" type="noConversion"/>
  <conditionalFormatting sqref="F4:G6 F8:G8 F11:G14 F16:G16 F19:G23 F25:G25 F28:G44 F46:G46 M4:N6 M8:N8 M11:N14 M16:N16 M19:N23 M25:N25 M28:N44 M46:N46">
    <cfRule type="cellIs" dxfId="44" priority="1" operator="between">
      <formula>-2</formula>
      <formula>2</formula>
    </cfRule>
  </conditionalFormatting>
  <pageMargins left="0.75" right="0.75" top="1" bottom="1" header="0.5" footer="0.5"/>
  <pageSetup paperSize="3" scale="87" orientation="landscape"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34998626667073579"/>
    <pageSetUpPr fitToPage="1"/>
  </sheetPr>
  <dimension ref="A1:S19"/>
  <sheetViews>
    <sheetView workbookViewId="0"/>
  </sheetViews>
  <sheetFormatPr baseColWidth="10" defaultRowHeight="13"/>
  <cols>
    <col min="1" max="2" width="10.83203125" style="12"/>
    <col min="3" max="3" width="45.6640625" style="12" customWidth="1"/>
    <col min="4" max="16384" width="10.83203125" style="12"/>
  </cols>
  <sheetData>
    <row r="1" spans="1:19">
      <c r="A1" s="216" t="s">
        <v>79</v>
      </c>
      <c r="B1" s="77"/>
      <c r="C1" s="77"/>
      <c r="D1" s="77"/>
      <c r="E1" s="77"/>
      <c r="F1" s="77"/>
      <c r="G1" s="77"/>
      <c r="H1" s="77"/>
      <c r="I1" s="11"/>
      <c r="J1" s="11"/>
      <c r="K1" s="11"/>
      <c r="L1" s="11"/>
      <c r="M1" s="11"/>
      <c r="N1" s="11"/>
      <c r="O1" s="11"/>
      <c r="P1" s="11"/>
      <c r="Q1" s="11"/>
      <c r="R1" s="11"/>
      <c r="S1" s="11"/>
    </row>
    <row r="2" spans="1:19">
      <c r="A2" s="51">
        <v>3600</v>
      </c>
      <c r="B2" s="77" t="s">
        <v>78</v>
      </c>
      <c r="C2" s="77"/>
      <c r="D2" s="77"/>
      <c r="E2" s="77"/>
      <c r="F2" s="77"/>
      <c r="G2" s="77"/>
      <c r="H2" s="77"/>
      <c r="I2" s="11"/>
      <c r="J2" s="11"/>
      <c r="K2" s="11"/>
      <c r="L2" s="11"/>
      <c r="M2" s="11"/>
      <c r="N2" s="11"/>
      <c r="O2" s="11"/>
      <c r="P2" s="11"/>
      <c r="Q2" s="11"/>
      <c r="R2" s="11"/>
      <c r="S2" s="11"/>
    </row>
    <row r="3" spans="1:19">
      <c r="A3" s="51">
        <v>3412</v>
      </c>
      <c r="B3" s="77" t="s">
        <v>89</v>
      </c>
      <c r="C3" s="77"/>
      <c r="D3" s="77"/>
      <c r="E3" s="77"/>
      <c r="F3" s="77"/>
      <c r="G3" s="77"/>
      <c r="H3" s="77"/>
      <c r="I3" s="11"/>
      <c r="J3" s="11"/>
      <c r="K3" s="11"/>
      <c r="L3" s="11"/>
      <c r="M3" s="11"/>
      <c r="N3" s="11"/>
      <c r="O3" s="11"/>
      <c r="P3" s="11"/>
      <c r="Q3" s="11"/>
      <c r="R3" s="11"/>
      <c r="S3" s="11"/>
    </row>
    <row r="4" spans="1:19">
      <c r="A4" s="66">
        <v>1.0558700000000001</v>
      </c>
      <c r="B4" s="77" t="s">
        <v>175</v>
      </c>
      <c r="C4" s="77"/>
      <c r="D4" s="77"/>
      <c r="E4" s="77"/>
      <c r="F4" s="77"/>
      <c r="G4" s="77"/>
      <c r="H4" s="77"/>
      <c r="I4" s="11"/>
      <c r="J4" s="11"/>
      <c r="K4" s="11"/>
      <c r="L4" s="11"/>
      <c r="M4" s="11"/>
      <c r="N4" s="11"/>
      <c r="O4" s="11"/>
      <c r="P4" s="11"/>
      <c r="Q4" s="11"/>
      <c r="R4" s="11"/>
      <c r="S4" s="11"/>
    </row>
    <row r="5" spans="1:19">
      <c r="A5" s="65">
        <v>42</v>
      </c>
      <c r="B5" s="77" t="s">
        <v>207</v>
      </c>
      <c r="C5" s="77"/>
      <c r="D5" s="77"/>
      <c r="E5" s="77"/>
      <c r="F5" s="77"/>
      <c r="G5" s="77"/>
      <c r="H5" s="77"/>
      <c r="I5" s="11"/>
      <c r="J5" s="11"/>
      <c r="K5" s="11"/>
      <c r="L5" s="11"/>
      <c r="M5" s="11"/>
      <c r="N5" s="11"/>
      <c r="O5" s="11"/>
      <c r="P5" s="11"/>
      <c r="Q5" s="11"/>
      <c r="R5" s="11"/>
      <c r="S5" s="11"/>
    </row>
    <row r="6" spans="1:19">
      <c r="A6" s="51">
        <v>264.17200000000003</v>
      </c>
      <c r="B6" s="77" t="s">
        <v>255</v>
      </c>
      <c r="C6" s="77"/>
      <c r="D6" s="77"/>
      <c r="E6" s="77"/>
      <c r="F6" s="77"/>
      <c r="G6" s="77"/>
      <c r="H6" s="77"/>
      <c r="I6" s="11"/>
      <c r="J6" s="11"/>
      <c r="K6" s="11"/>
      <c r="L6" s="11"/>
      <c r="M6" s="11"/>
      <c r="N6" s="11"/>
      <c r="O6" s="11"/>
      <c r="P6" s="11"/>
      <c r="Q6" s="11"/>
      <c r="R6" s="11"/>
      <c r="S6" s="11"/>
    </row>
    <row r="7" spans="1:19">
      <c r="A7" s="77"/>
      <c r="B7" s="77"/>
      <c r="C7" s="77"/>
      <c r="D7" s="77"/>
      <c r="E7" s="77"/>
      <c r="F7" s="77"/>
      <c r="G7" s="77"/>
      <c r="H7" s="77"/>
      <c r="I7" s="11"/>
      <c r="J7" s="11"/>
      <c r="K7" s="11"/>
      <c r="L7" s="11"/>
      <c r="M7" s="11"/>
      <c r="N7" s="11"/>
      <c r="O7" s="11"/>
      <c r="P7" s="11"/>
      <c r="Q7" s="11"/>
      <c r="R7" s="11"/>
      <c r="S7" s="11"/>
    </row>
    <row r="8" spans="1:19">
      <c r="A8" s="77"/>
      <c r="B8" s="77"/>
      <c r="C8" s="77"/>
      <c r="D8" s="77"/>
      <c r="E8" s="77"/>
      <c r="F8" s="77"/>
      <c r="G8" s="77"/>
      <c r="H8" s="77"/>
      <c r="I8" s="11"/>
      <c r="J8" s="11"/>
      <c r="K8" s="11"/>
      <c r="L8" s="11"/>
      <c r="M8" s="11"/>
      <c r="N8" s="11"/>
      <c r="O8" s="11"/>
      <c r="P8" s="11"/>
      <c r="Q8" s="11"/>
      <c r="R8" s="11"/>
      <c r="S8" s="11"/>
    </row>
    <row r="9" spans="1:19">
      <c r="A9" s="216" t="s">
        <v>80</v>
      </c>
      <c r="B9" s="77"/>
      <c r="C9" s="77"/>
      <c r="D9" s="77"/>
      <c r="E9" s="77"/>
      <c r="F9" s="77"/>
      <c r="G9" s="77"/>
      <c r="H9" s="77"/>
      <c r="I9" s="11"/>
      <c r="J9" s="11"/>
      <c r="K9" s="11"/>
      <c r="L9" s="11"/>
      <c r="M9" s="11"/>
      <c r="N9" s="11"/>
      <c r="O9" s="11"/>
      <c r="P9" s="11"/>
      <c r="Q9" s="11"/>
      <c r="R9" s="11"/>
      <c r="S9" s="11"/>
    </row>
    <row r="10" spans="1:19">
      <c r="A10" s="521" t="s">
        <v>35</v>
      </c>
      <c r="B10" s="77"/>
      <c r="C10" s="77"/>
      <c r="D10" s="77"/>
      <c r="E10" s="77"/>
      <c r="F10" s="213"/>
      <c r="G10" s="77"/>
      <c r="H10" s="77"/>
      <c r="I10" s="11"/>
      <c r="J10" s="11"/>
      <c r="K10" s="11"/>
      <c r="L10" s="11"/>
      <c r="M10" s="11"/>
      <c r="N10" s="11"/>
      <c r="O10" s="11"/>
      <c r="P10" s="11"/>
      <c r="Q10" s="11"/>
      <c r="R10" s="11"/>
      <c r="S10" s="11"/>
    </row>
    <row r="11" spans="1:19">
      <c r="A11" s="71">
        <f>199103171/3937003272</f>
        <v>5.0572264548526896E-2</v>
      </c>
      <c r="B11" s="77"/>
      <c r="C11" s="77" t="s">
        <v>176</v>
      </c>
      <c r="D11" s="213" t="s">
        <v>81</v>
      </c>
      <c r="E11" s="77"/>
      <c r="F11" s="77"/>
      <c r="G11" s="77"/>
      <c r="H11" s="77"/>
      <c r="I11" s="11"/>
      <c r="J11" s="11"/>
      <c r="K11" s="11"/>
      <c r="L11" s="11"/>
      <c r="M11" s="11"/>
      <c r="N11" s="11"/>
      <c r="O11" s="11"/>
      <c r="P11" s="11"/>
      <c r="Q11" s="11"/>
      <c r="R11" s="11"/>
      <c r="S11" s="11"/>
    </row>
    <row r="12" spans="1:19">
      <c r="A12" s="65">
        <v>10514.387833428214</v>
      </c>
      <c r="B12" s="77" t="s">
        <v>89</v>
      </c>
      <c r="C12" s="77" t="s">
        <v>952</v>
      </c>
      <c r="D12" s="213" t="s">
        <v>289</v>
      </c>
      <c r="E12" s="77"/>
      <c r="F12" s="77"/>
      <c r="G12" s="77"/>
      <c r="H12" s="77"/>
      <c r="I12" s="11"/>
      <c r="J12" s="11"/>
      <c r="K12" s="11"/>
      <c r="L12" s="11"/>
      <c r="M12" s="11"/>
      <c r="N12" s="11"/>
      <c r="O12" s="11"/>
      <c r="P12" s="11"/>
      <c r="Q12" s="11"/>
      <c r="R12" s="11"/>
      <c r="S12" s="11"/>
    </row>
    <row r="13" spans="1:19">
      <c r="A13" s="65">
        <v>10283.751867407298</v>
      </c>
      <c r="B13" s="77" t="s">
        <v>89</v>
      </c>
      <c r="C13" s="77" t="s">
        <v>953</v>
      </c>
      <c r="D13" s="213" t="s">
        <v>290</v>
      </c>
      <c r="E13" s="77"/>
      <c r="F13" s="77"/>
      <c r="G13" s="77"/>
      <c r="H13" s="77"/>
      <c r="I13" s="11"/>
      <c r="J13" s="11"/>
      <c r="K13" s="11"/>
      <c r="L13" s="11"/>
      <c r="M13" s="11"/>
      <c r="N13" s="11"/>
      <c r="O13" s="11"/>
      <c r="P13" s="11"/>
      <c r="Q13" s="11"/>
      <c r="R13" s="11"/>
      <c r="S13" s="11"/>
    </row>
    <row r="14" spans="1:19">
      <c r="A14" s="65">
        <v>10893.074552045166</v>
      </c>
      <c r="B14" s="77" t="s">
        <v>89</v>
      </c>
      <c r="C14" s="77" t="s">
        <v>954</v>
      </c>
      <c r="D14" s="213" t="s">
        <v>291</v>
      </c>
      <c r="E14" s="77"/>
      <c r="F14" s="77"/>
      <c r="G14" s="77"/>
      <c r="H14" s="77"/>
      <c r="I14" s="11"/>
      <c r="J14" s="11"/>
      <c r="K14" s="11"/>
      <c r="L14" s="11"/>
      <c r="M14" s="11"/>
      <c r="N14" s="11"/>
      <c r="O14" s="11"/>
      <c r="P14" s="11"/>
      <c r="Q14" s="11"/>
      <c r="R14" s="11"/>
      <c r="S14" s="11"/>
    </row>
    <row r="15" spans="1:19">
      <c r="A15" s="51">
        <v>7907</v>
      </c>
      <c r="B15" s="77" t="s">
        <v>89</v>
      </c>
      <c r="C15" s="77" t="s">
        <v>90</v>
      </c>
      <c r="D15" s="213" t="s">
        <v>177</v>
      </c>
      <c r="E15" s="77"/>
      <c r="F15" s="77"/>
      <c r="G15" s="77"/>
      <c r="H15" s="77"/>
      <c r="I15" s="11"/>
      <c r="J15" s="11"/>
      <c r="K15" s="11"/>
      <c r="L15" s="11"/>
      <c r="M15" s="11"/>
      <c r="N15" s="11"/>
      <c r="O15" s="11"/>
      <c r="P15" s="11"/>
      <c r="Q15" s="11"/>
      <c r="R15" s="11"/>
      <c r="S15" s="11"/>
    </row>
    <row r="16" spans="1:19">
      <c r="A16" s="51">
        <v>10459</v>
      </c>
      <c r="B16" s="77" t="s">
        <v>89</v>
      </c>
      <c r="C16" s="77" t="s">
        <v>91</v>
      </c>
      <c r="D16" s="213" t="s">
        <v>177</v>
      </c>
      <c r="E16" s="77"/>
      <c r="F16" s="77"/>
      <c r="G16" s="77"/>
      <c r="H16" s="77"/>
      <c r="I16" s="11"/>
      <c r="J16" s="11"/>
      <c r="K16" s="11"/>
      <c r="L16" s="11"/>
      <c r="M16" s="11"/>
      <c r="N16" s="11"/>
      <c r="O16" s="11"/>
      <c r="P16" s="11"/>
      <c r="Q16" s="11"/>
      <c r="R16" s="11"/>
      <c r="S16" s="11"/>
    </row>
    <row r="17" spans="1:19">
      <c r="A17" s="51">
        <v>10814</v>
      </c>
      <c r="B17" s="77" t="s">
        <v>89</v>
      </c>
      <c r="C17" s="77" t="s">
        <v>92</v>
      </c>
      <c r="D17" s="213" t="s">
        <v>177</v>
      </c>
      <c r="E17" s="77"/>
      <c r="F17" s="77"/>
      <c r="G17" s="77"/>
      <c r="H17" s="77"/>
      <c r="I17" s="11"/>
      <c r="J17" s="11"/>
      <c r="K17" s="11"/>
      <c r="L17" s="11"/>
      <c r="M17" s="11"/>
      <c r="N17" s="11"/>
      <c r="O17" s="11"/>
      <c r="P17" s="11"/>
      <c r="Q17" s="11"/>
      <c r="R17" s="11"/>
      <c r="S17" s="11"/>
    </row>
    <row r="18" spans="1:19">
      <c r="A18" s="77"/>
      <c r="B18" s="77"/>
      <c r="C18" s="77"/>
      <c r="D18" s="77"/>
      <c r="E18" s="77"/>
      <c r="F18" s="77"/>
      <c r="G18" s="77"/>
      <c r="H18" s="77"/>
      <c r="I18" s="11"/>
      <c r="J18" s="11"/>
      <c r="K18" s="11"/>
      <c r="L18" s="11"/>
      <c r="M18" s="11"/>
      <c r="N18" s="11"/>
      <c r="O18" s="11"/>
      <c r="P18" s="11"/>
      <c r="Q18" s="11"/>
      <c r="R18" s="11"/>
      <c r="S18" s="11"/>
    </row>
    <row r="19" spans="1:19">
      <c r="A19" s="77"/>
      <c r="B19" s="77"/>
      <c r="C19" s="77"/>
      <c r="D19" s="77"/>
      <c r="E19" s="77"/>
      <c r="F19" s="77"/>
      <c r="G19" s="77"/>
      <c r="H19" s="77"/>
      <c r="I19" s="11"/>
      <c r="J19" s="11"/>
      <c r="K19" s="11"/>
      <c r="L19" s="11"/>
      <c r="M19" s="11"/>
      <c r="N19" s="11"/>
      <c r="O19" s="11"/>
      <c r="P19" s="11"/>
      <c r="Q19" s="11"/>
      <c r="R19" s="11"/>
      <c r="S19" s="11"/>
    </row>
  </sheetData>
  <sheetProtection sheet="1" objects="1" scenarios="1" formatCells="0" formatColumns="0" formatRows="0" sort="0" autoFilter="0" pivotTables="0"/>
  <phoneticPr fontId="55" type="noConversion"/>
  <pageMargins left="0.75" right="0.75" top="1" bottom="1" header="0.5" footer="0.5"/>
  <pageSetup paperSize="3" orientation="landscape" horizontalDpi="4294967292" verticalDpi="429496729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34998626667073579"/>
    <pageSetUpPr fitToPage="1"/>
  </sheetPr>
  <dimension ref="A1:C59"/>
  <sheetViews>
    <sheetView workbookViewId="0">
      <selection activeCell="B2" sqref="B2"/>
    </sheetView>
  </sheetViews>
  <sheetFormatPr baseColWidth="10" defaultRowHeight="15"/>
  <cols>
    <col min="1" max="1" width="18.5" customWidth="1"/>
    <col min="2" max="2" width="183.83203125" customWidth="1"/>
    <col min="3" max="3" width="23.83203125" customWidth="1"/>
  </cols>
  <sheetData>
    <row r="1" spans="1:3">
      <c r="A1" s="820" t="s">
        <v>658</v>
      </c>
      <c r="B1" s="821"/>
      <c r="C1" s="822"/>
    </row>
    <row r="2" spans="1:3">
      <c r="A2" s="720" t="s">
        <v>929</v>
      </c>
      <c r="B2" s="720" t="s">
        <v>930</v>
      </c>
      <c r="C2" s="720" t="s">
        <v>931</v>
      </c>
    </row>
    <row r="3" spans="1:3">
      <c r="A3" s="721" t="s">
        <v>659</v>
      </c>
      <c r="B3" s="722" t="s">
        <v>660</v>
      </c>
      <c r="C3" s="723" t="s">
        <v>385</v>
      </c>
    </row>
    <row r="4" spans="1:3">
      <c r="A4" s="717" t="s">
        <v>661</v>
      </c>
      <c r="B4" s="718" t="s">
        <v>663</v>
      </c>
      <c r="C4" s="719" t="s">
        <v>662</v>
      </c>
    </row>
    <row r="5" spans="1:3">
      <c r="A5" s="717" t="s">
        <v>664</v>
      </c>
      <c r="B5" s="718" t="s">
        <v>665</v>
      </c>
      <c r="C5" s="719" t="s">
        <v>45</v>
      </c>
    </row>
    <row r="6" spans="1:3">
      <c r="A6" s="717" t="s">
        <v>666</v>
      </c>
      <c r="B6" s="718" t="s">
        <v>45</v>
      </c>
      <c r="C6" s="719" t="s">
        <v>45</v>
      </c>
    </row>
    <row r="7" spans="1:3">
      <c r="A7" s="717" t="s">
        <v>667</v>
      </c>
      <c r="B7" s="718" t="s">
        <v>668</v>
      </c>
      <c r="C7" s="719" t="s">
        <v>385</v>
      </c>
    </row>
    <row r="8" spans="1:3">
      <c r="A8" s="717" t="s">
        <v>84</v>
      </c>
      <c r="B8" s="718" t="s">
        <v>669</v>
      </c>
      <c r="C8" s="719" t="s">
        <v>12</v>
      </c>
    </row>
    <row r="9" spans="1:3">
      <c r="A9" s="717" t="s">
        <v>670</v>
      </c>
      <c r="B9" s="718" t="s">
        <v>6</v>
      </c>
      <c r="C9" s="719" t="s">
        <v>6</v>
      </c>
    </row>
    <row r="10" spans="1:3">
      <c r="A10" s="717" t="s">
        <v>671</v>
      </c>
      <c r="B10" s="718" t="s">
        <v>672</v>
      </c>
      <c r="C10" s="719" t="s">
        <v>12</v>
      </c>
    </row>
    <row r="11" spans="1:3">
      <c r="A11" s="717" t="s">
        <v>673</v>
      </c>
      <c r="B11" s="718" t="s">
        <v>674</v>
      </c>
      <c r="C11" s="719" t="s">
        <v>12</v>
      </c>
    </row>
    <row r="12" spans="1:3">
      <c r="A12" s="717" t="s">
        <v>675</v>
      </c>
      <c r="B12" s="718" t="s">
        <v>676</v>
      </c>
      <c r="C12" s="719" t="s">
        <v>374</v>
      </c>
    </row>
    <row r="13" spans="1:3">
      <c r="A13" s="717" t="s">
        <v>677</v>
      </c>
      <c r="B13" s="718" t="s">
        <v>22</v>
      </c>
      <c r="C13" s="719" t="s">
        <v>22</v>
      </c>
    </row>
    <row r="14" spans="1:3">
      <c r="A14" s="717" t="s">
        <v>678</v>
      </c>
      <c r="B14" s="718" t="s">
        <v>679</v>
      </c>
      <c r="C14" s="719" t="s">
        <v>385</v>
      </c>
    </row>
    <row r="15" spans="1:3">
      <c r="A15" s="717" t="s">
        <v>680</v>
      </c>
      <c r="B15" s="718" t="s">
        <v>681</v>
      </c>
      <c r="C15" s="719" t="s">
        <v>385</v>
      </c>
    </row>
    <row r="16" spans="1:3">
      <c r="A16" s="717" t="s">
        <v>682</v>
      </c>
      <c r="B16" s="718" t="s">
        <v>683</v>
      </c>
      <c r="C16" s="719" t="s">
        <v>662</v>
      </c>
    </row>
    <row r="17" spans="1:3">
      <c r="A17" s="717" t="s">
        <v>684</v>
      </c>
      <c r="B17" s="718" t="s">
        <v>3</v>
      </c>
      <c r="C17" s="719" t="s">
        <v>3</v>
      </c>
    </row>
    <row r="18" spans="1:3">
      <c r="A18" s="717" t="s">
        <v>685</v>
      </c>
      <c r="B18" s="718" t="s">
        <v>686</v>
      </c>
      <c r="C18" s="719" t="s">
        <v>28</v>
      </c>
    </row>
    <row r="19" spans="1:3">
      <c r="A19" s="717" t="s">
        <v>687</v>
      </c>
      <c r="B19" s="718" t="s">
        <v>688</v>
      </c>
      <c r="C19" s="719" t="s">
        <v>374</v>
      </c>
    </row>
    <row r="20" spans="1:3">
      <c r="A20" s="717" t="s">
        <v>689</v>
      </c>
      <c r="B20" s="718" t="s">
        <v>690</v>
      </c>
      <c r="C20" s="719" t="s">
        <v>385</v>
      </c>
    </row>
    <row r="21" spans="1:3">
      <c r="A21" s="717" t="s">
        <v>691</v>
      </c>
      <c r="B21" s="718" t="s">
        <v>692</v>
      </c>
      <c r="C21" s="719" t="s">
        <v>385</v>
      </c>
    </row>
    <row r="22" spans="1:3">
      <c r="A22" s="717" t="s">
        <v>693</v>
      </c>
      <c r="B22" s="718" t="s">
        <v>694</v>
      </c>
      <c r="C22" s="719" t="s">
        <v>3</v>
      </c>
    </row>
    <row r="23" spans="1:3">
      <c r="A23" s="717" t="s">
        <v>695</v>
      </c>
      <c r="B23" s="718" t="s">
        <v>696</v>
      </c>
      <c r="C23" s="731" t="s">
        <v>933</v>
      </c>
    </row>
    <row r="24" spans="1:3">
      <c r="A24" s="717" t="s">
        <v>697</v>
      </c>
      <c r="B24" s="718" t="s">
        <v>698</v>
      </c>
      <c r="C24" s="719" t="s">
        <v>12</v>
      </c>
    </row>
    <row r="25" spans="1:3">
      <c r="A25" s="717" t="s">
        <v>699</v>
      </c>
      <c r="B25" s="718" t="s">
        <v>700</v>
      </c>
      <c r="C25" s="719" t="s">
        <v>12</v>
      </c>
    </row>
    <row r="26" spans="1:3">
      <c r="A26" s="717" t="s">
        <v>701</v>
      </c>
      <c r="B26" s="718" t="s">
        <v>702</v>
      </c>
      <c r="C26" s="731" t="s">
        <v>933</v>
      </c>
    </row>
    <row r="27" spans="1:3">
      <c r="A27" s="717" t="s">
        <v>703</v>
      </c>
      <c r="B27" s="718" t="s">
        <v>704</v>
      </c>
      <c r="C27" s="719" t="s">
        <v>45</v>
      </c>
    </row>
    <row r="28" spans="1:3">
      <c r="A28" s="717" t="s">
        <v>85</v>
      </c>
      <c r="B28" s="718" t="s">
        <v>705</v>
      </c>
      <c r="C28" s="719" t="s">
        <v>12</v>
      </c>
    </row>
    <row r="29" spans="1:3">
      <c r="A29" s="717" t="s">
        <v>706</v>
      </c>
      <c r="B29" s="718" t="s">
        <v>707</v>
      </c>
      <c r="C29" s="719" t="s">
        <v>45</v>
      </c>
    </row>
    <row r="30" spans="1:3">
      <c r="A30" s="717" t="s">
        <v>708</v>
      </c>
      <c r="B30" s="718" t="s">
        <v>709</v>
      </c>
      <c r="C30" s="719" t="s">
        <v>45</v>
      </c>
    </row>
    <row r="31" spans="1:3">
      <c r="A31" s="717" t="s">
        <v>710</v>
      </c>
      <c r="B31" s="718" t="s">
        <v>711</v>
      </c>
      <c r="C31" s="719" t="s">
        <v>12</v>
      </c>
    </row>
    <row r="32" spans="1:3">
      <c r="A32" s="717" t="s">
        <v>712</v>
      </c>
      <c r="B32" s="718" t="s">
        <v>713</v>
      </c>
      <c r="C32" s="719" t="s">
        <v>385</v>
      </c>
    </row>
    <row r="33" spans="1:3">
      <c r="A33" s="717" t="s">
        <v>714</v>
      </c>
      <c r="B33" s="718" t="s">
        <v>44</v>
      </c>
      <c r="C33" s="719" t="s">
        <v>44</v>
      </c>
    </row>
    <row r="34" spans="1:3">
      <c r="A34" s="717" t="s">
        <v>715</v>
      </c>
      <c r="B34" s="718" t="s">
        <v>33</v>
      </c>
      <c r="C34" s="719" t="s">
        <v>33</v>
      </c>
    </row>
    <row r="35" spans="1:3">
      <c r="A35" s="717" t="s">
        <v>716</v>
      </c>
      <c r="B35" s="718" t="s">
        <v>717</v>
      </c>
      <c r="C35" s="719" t="s">
        <v>385</v>
      </c>
    </row>
    <row r="36" spans="1:3" ht="26">
      <c r="A36" s="717" t="s">
        <v>718</v>
      </c>
      <c r="B36" s="718" t="s">
        <v>719</v>
      </c>
      <c r="C36" s="719" t="s">
        <v>29</v>
      </c>
    </row>
    <row r="37" spans="1:3">
      <c r="A37" s="717" t="s">
        <v>720</v>
      </c>
      <c r="B37" s="718" t="s">
        <v>721</v>
      </c>
      <c r="C37" s="719" t="s">
        <v>45</v>
      </c>
    </row>
    <row r="38" spans="1:3">
      <c r="A38" s="717" t="s">
        <v>722</v>
      </c>
      <c r="B38" s="718" t="s">
        <v>723</v>
      </c>
      <c r="C38" s="719" t="s">
        <v>385</v>
      </c>
    </row>
    <row r="39" spans="1:3">
      <c r="A39" s="717" t="s">
        <v>724</v>
      </c>
      <c r="B39" s="718" t="s">
        <v>725</v>
      </c>
      <c r="C39" s="719" t="s">
        <v>385</v>
      </c>
    </row>
    <row r="40" spans="1:3">
      <c r="A40" s="717" t="s">
        <v>726</v>
      </c>
      <c r="B40" s="718" t="s">
        <v>727</v>
      </c>
      <c r="C40" s="731" t="s">
        <v>933</v>
      </c>
    </row>
    <row r="41" spans="1:3">
      <c r="A41" s="717" t="s">
        <v>728</v>
      </c>
      <c r="B41" s="718" t="s">
        <v>5</v>
      </c>
      <c r="C41" s="719" t="s">
        <v>5</v>
      </c>
    </row>
    <row r="42" spans="1:3">
      <c r="A42" s="724" t="s">
        <v>729</v>
      </c>
      <c r="B42" s="725" t="s">
        <v>730</v>
      </c>
      <c r="C42" s="726" t="s">
        <v>12</v>
      </c>
    </row>
    <row r="43" spans="1:3">
      <c r="A43" s="717"/>
      <c r="B43" s="718"/>
      <c r="C43" s="719"/>
    </row>
    <row r="44" spans="1:3">
      <c r="A44" s="213"/>
      <c r="B44" s="213"/>
      <c r="C44" s="213"/>
    </row>
    <row r="45" spans="1:3">
      <c r="A45" s="823" t="s">
        <v>731</v>
      </c>
      <c r="B45" s="824"/>
      <c r="C45" s="825"/>
    </row>
    <row r="46" spans="1:3">
      <c r="A46" s="720" t="s">
        <v>929</v>
      </c>
      <c r="B46" s="720" t="s">
        <v>930</v>
      </c>
      <c r="C46" s="720" t="s">
        <v>931</v>
      </c>
    </row>
    <row r="47" spans="1:3">
      <c r="A47" s="717" t="s">
        <v>734</v>
      </c>
      <c r="B47" s="727" t="s">
        <v>735</v>
      </c>
      <c r="C47" s="728" t="s">
        <v>735</v>
      </c>
    </row>
    <row r="48" spans="1:3">
      <c r="A48" s="717" t="s">
        <v>732</v>
      </c>
      <c r="B48" s="727" t="s">
        <v>733</v>
      </c>
      <c r="C48" s="728" t="s">
        <v>601</v>
      </c>
    </row>
    <row r="49" spans="1:3">
      <c r="A49" s="717" t="s">
        <v>736</v>
      </c>
      <c r="B49" s="727" t="s">
        <v>737</v>
      </c>
      <c r="C49" s="728" t="s">
        <v>10</v>
      </c>
    </row>
    <row r="50" spans="1:3">
      <c r="A50" s="724" t="s">
        <v>738</v>
      </c>
      <c r="B50" s="729" t="s">
        <v>739</v>
      </c>
      <c r="C50" s="730" t="s">
        <v>932</v>
      </c>
    </row>
    <row r="51" spans="1:3">
      <c r="A51" s="631"/>
      <c r="B51" s="632"/>
      <c r="C51" s="213"/>
    </row>
    <row r="52" spans="1:3">
      <c r="A52" s="631"/>
      <c r="B52" s="632"/>
      <c r="C52" s="213"/>
    </row>
    <row r="53" spans="1:3">
      <c r="A53" s="823" t="s">
        <v>740</v>
      </c>
      <c r="B53" s="824"/>
      <c r="C53" s="825"/>
    </row>
    <row r="54" spans="1:3">
      <c r="A54" s="716" t="s">
        <v>929</v>
      </c>
      <c r="B54" s="716" t="s">
        <v>930</v>
      </c>
      <c r="C54" s="716" t="s">
        <v>931</v>
      </c>
    </row>
    <row r="55" spans="1:3">
      <c r="A55" s="717" t="s">
        <v>743</v>
      </c>
      <c r="B55" s="727" t="s">
        <v>744</v>
      </c>
      <c r="C55" s="728" t="s">
        <v>744</v>
      </c>
    </row>
    <row r="56" spans="1:3">
      <c r="A56" s="717" t="s">
        <v>741</v>
      </c>
      <c r="B56" s="727" t="s">
        <v>742</v>
      </c>
      <c r="C56" s="728" t="s">
        <v>742</v>
      </c>
    </row>
    <row r="57" spans="1:3">
      <c r="A57" s="717" t="s">
        <v>746</v>
      </c>
      <c r="B57" s="727" t="s">
        <v>747</v>
      </c>
      <c r="C57" s="728" t="s">
        <v>747</v>
      </c>
    </row>
    <row r="58" spans="1:3">
      <c r="A58" s="717" t="s">
        <v>745</v>
      </c>
      <c r="B58" s="727" t="s">
        <v>603</v>
      </c>
      <c r="C58" s="728" t="s">
        <v>936</v>
      </c>
    </row>
    <row r="59" spans="1:3">
      <c r="A59" s="724" t="s">
        <v>738</v>
      </c>
      <c r="B59" s="729" t="s">
        <v>739</v>
      </c>
      <c r="C59" s="730" t="s">
        <v>932</v>
      </c>
    </row>
  </sheetData>
  <sheetProtection sheet="1" objects="1" scenarios="1" formatCells="0" formatColumns="0" formatRows="0" sort="0" autoFilter="0" pivotTables="0"/>
  <mergeCells count="3">
    <mergeCell ref="A1:C1"/>
    <mergeCell ref="A53:C53"/>
    <mergeCell ref="A45:C45"/>
  </mergeCells>
  <phoneticPr fontId="55" type="noConversion"/>
  <hyperlinks>
    <hyperlink ref="C26" location="'Allocation of &quot;other&quot; fuels'!A1" display="'Allocation of &quot;other&quot; fuels'!A1" xr:uid="{00000000-0004-0000-1F00-000000000000}"/>
    <hyperlink ref="C23" location="'Allocation of &quot;other&quot; fuels'!A1" display="'Allocation of &quot;other&quot; fuels'!A1" xr:uid="{00000000-0004-0000-1F00-000001000000}"/>
    <hyperlink ref="C40" location="'Allocation of &quot;other&quot; fuels'!A1" display="'Allocation of &quot;other&quot; fuels'!A1" xr:uid="{00000000-0004-0000-1F00-000002000000}"/>
  </hyperlinks>
  <pageMargins left="0.75" right="0.75" top="1" bottom="1" header="0.5" footer="0.5"/>
  <pageSetup paperSize="3" scale="73" orientation="landscape" horizontalDpi="0" verticalDpi="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34998626667073579"/>
    <pageSetUpPr fitToPage="1"/>
  </sheetPr>
  <dimension ref="A1:AF208"/>
  <sheetViews>
    <sheetView topLeftCell="A6" workbookViewId="0">
      <selection activeCell="G7" sqref="G7"/>
    </sheetView>
  </sheetViews>
  <sheetFormatPr baseColWidth="10" defaultRowHeight="13"/>
  <cols>
    <col min="1" max="1" width="21.6640625" style="12" customWidth="1"/>
    <col min="2" max="2" width="13.1640625" style="12" customWidth="1"/>
    <col min="3" max="4" width="12.33203125" style="12" customWidth="1"/>
    <col min="5" max="7" width="11.33203125" style="12" customWidth="1"/>
    <col min="8" max="8" width="10.83203125" style="12"/>
    <col min="9" max="9" width="12.33203125" style="12" customWidth="1"/>
    <col min="10" max="10" width="12.1640625" style="12" customWidth="1"/>
    <col min="11" max="14" width="10.83203125" style="12"/>
    <col min="15" max="15" width="11" style="12" customWidth="1"/>
    <col min="16" max="16" width="12.33203125" style="12" customWidth="1"/>
    <col min="17" max="17" width="11.33203125" style="12" customWidth="1"/>
    <col min="18" max="18" width="14.1640625" style="12" customWidth="1"/>
    <col min="19" max="19" width="11" style="12" customWidth="1"/>
    <col min="20" max="20" width="11.1640625" style="12" customWidth="1"/>
    <col min="21" max="16384" width="10.83203125" style="12"/>
  </cols>
  <sheetData>
    <row r="1" spans="1:32">
      <c r="A1" s="216" t="s">
        <v>172</v>
      </c>
      <c r="B1" s="77"/>
      <c r="C1" s="77"/>
      <c r="D1" s="77"/>
      <c r="E1" s="77"/>
      <c r="F1" s="77"/>
      <c r="G1" s="77"/>
      <c r="H1" s="77"/>
      <c r="I1" s="77"/>
      <c r="J1" s="77"/>
      <c r="K1" s="77"/>
      <c r="L1" s="77"/>
      <c r="M1" s="77"/>
      <c r="N1" s="77"/>
      <c r="P1" s="77"/>
      <c r="Q1" s="77"/>
      <c r="R1" s="77"/>
      <c r="S1" s="77"/>
      <c r="T1" s="77"/>
      <c r="U1" s="77"/>
      <c r="V1" s="77"/>
      <c r="W1" s="77"/>
      <c r="X1" s="77"/>
      <c r="Y1" s="77"/>
      <c r="Z1" s="77"/>
      <c r="AA1" s="77"/>
      <c r="AB1" s="77"/>
      <c r="AC1" s="77"/>
      <c r="AD1" s="77"/>
      <c r="AE1" s="77"/>
      <c r="AF1" s="77"/>
    </row>
    <row r="2" spans="1:32" ht="26">
      <c r="A2" s="77"/>
      <c r="B2" s="549" t="s">
        <v>65</v>
      </c>
      <c r="C2" s="549" t="s">
        <v>66</v>
      </c>
      <c r="D2" s="549" t="s">
        <v>67</v>
      </c>
      <c r="E2" s="549" t="s">
        <v>68</v>
      </c>
      <c r="F2" s="549" t="s">
        <v>69</v>
      </c>
      <c r="G2" s="550" t="s">
        <v>75</v>
      </c>
      <c r="H2" s="551"/>
      <c r="I2" s="552"/>
      <c r="J2" s="553"/>
      <c r="K2" s="77"/>
      <c r="L2" s="538"/>
      <c r="M2" s="77"/>
      <c r="N2" s="77"/>
      <c r="O2" s="77"/>
      <c r="P2" s="77"/>
      <c r="Q2" s="77"/>
      <c r="R2" s="77"/>
      <c r="S2" s="77"/>
      <c r="T2" s="77"/>
      <c r="U2" s="77"/>
      <c r="V2" s="77"/>
      <c r="W2" s="77"/>
      <c r="X2" s="77"/>
      <c r="Y2" s="77"/>
      <c r="Z2" s="77"/>
      <c r="AA2" s="77"/>
      <c r="AB2" s="77"/>
      <c r="AC2" s="77"/>
      <c r="AD2" s="77"/>
      <c r="AE2" s="77"/>
      <c r="AF2" s="77"/>
    </row>
    <row r="3" spans="1:32">
      <c r="A3" s="216" t="s">
        <v>34</v>
      </c>
      <c r="B3" s="556" t="s">
        <v>40</v>
      </c>
      <c r="C3" s="556" t="s">
        <v>40</v>
      </c>
      <c r="D3" s="556" t="s">
        <v>40</v>
      </c>
      <c r="E3" s="556" t="s">
        <v>40</v>
      </c>
      <c r="F3" s="556" t="s">
        <v>40</v>
      </c>
      <c r="G3" s="557" t="s">
        <v>40</v>
      </c>
      <c r="H3" s="77"/>
      <c r="I3" s="552"/>
      <c r="J3" s="553"/>
      <c r="K3" s="77"/>
      <c r="L3" s="538"/>
      <c r="M3" s="77"/>
      <c r="N3" s="77"/>
      <c r="O3" s="77"/>
      <c r="P3" s="77"/>
      <c r="Q3" s="77"/>
      <c r="R3" s="77"/>
      <c r="S3" s="77"/>
      <c r="T3" s="77"/>
      <c r="U3" s="77"/>
      <c r="V3" s="77"/>
      <c r="W3" s="77"/>
      <c r="X3" s="77"/>
      <c r="Y3" s="77"/>
      <c r="Z3" s="77"/>
      <c r="AA3" s="77"/>
      <c r="AB3" s="77"/>
      <c r="AC3" s="77"/>
      <c r="AD3" s="77"/>
      <c r="AE3" s="77"/>
      <c r="AF3" s="77"/>
    </row>
    <row r="4" spans="1:32">
      <c r="A4" s="216" t="s">
        <v>83</v>
      </c>
      <c r="B4" s="47">
        <f t="shared" ref="B4:G4" si="0">SUM(B5:B21)</f>
        <v>84196236136.866425</v>
      </c>
      <c r="C4" s="47">
        <f t="shared" si="0"/>
        <v>43580280085.78257</v>
      </c>
      <c r="D4" s="47">
        <f t="shared" si="0"/>
        <v>90218811118.147141</v>
      </c>
      <c r="E4" s="47">
        <f t="shared" si="0"/>
        <v>79157555589.103012</v>
      </c>
      <c r="F4" s="48">
        <f t="shared" si="0"/>
        <v>70542014708.254822</v>
      </c>
      <c r="G4" s="49">
        <f t="shared" si="0"/>
        <v>71367326667.252121</v>
      </c>
      <c r="H4" s="285"/>
      <c r="I4" s="77"/>
      <c r="J4" s="77"/>
      <c r="K4" s="77"/>
      <c r="L4" s="77"/>
      <c r="M4" s="77"/>
      <c r="N4" s="77"/>
      <c r="O4" s="77"/>
      <c r="P4" s="77"/>
      <c r="Q4" s="77"/>
      <c r="R4" s="77"/>
      <c r="S4" s="77"/>
      <c r="T4" s="77"/>
      <c r="U4" s="77"/>
      <c r="V4" s="77"/>
      <c r="W4" s="77"/>
      <c r="X4" s="77"/>
      <c r="Y4" s="77"/>
      <c r="Z4" s="77"/>
      <c r="AA4" s="77"/>
      <c r="AB4" s="77"/>
      <c r="AC4" s="77"/>
      <c r="AD4" s="77"/>
      <c r="AE4" s="77"/>
      <c r="AF4" s="77"/>
    </row>
    <row r="5" spans="1:32" ht="14" thickBot="1">
      <c r="A5" s="77" t="s">
        <v>16</v>
      </c>
      <c r="B5" s="50">
        <f>'Energy data by fuel cycle'!B156</f>
        <v>9953275946.6266003</v>
      </c>
      <c r="C5" s="51"/>
      <c r="D5" s="52">
        <f>D57</f>
        <v>15688687662.222511</v>
      </c>
      <c r="E5" s="50">
        <f>'Energy data by fuel cycle'!B132-'Energy data by fuel cycle'!B131*unconv_oil_frac+E54+E48</f>
        <v>28094354681.493286</v>
      </c>
      <c r="F5" s="52">
        <f>G5</f>
        <v>25313013568.025452</v>
      </c>
      <c r="G5" s="50">
        <f>E5*0.901</f>
        <v>25313013568.025452</v>
      </c>
      <c r="H5" s="77" t="s">
        <v>914</v>
      </c>
      <c r="I5" s="77"/>
      <c r="J5" s="532"/>
      <c r="K5" s="77"/>
      <c r="L5" s="77"/>
      <c r="M5" s="77"/>
      <c r="N5" s="77"/>
      <c r="O5" s="77"/>
      <c r="P5" s="77"/>
      <c r="Q5" s="77"/>
      <c r="R5" s="77"/>
      <c r="S5" s="77"/>
      <c r="T5" s="77"/>
      <c r="U5" s="77"/>
      <c r="V5" s="77"/>
      <c r="W5" s="77"/>
      <c r="X5" s="77"/>
      <c r="Y5" s="77"/>
      <c r="Z5" s="77"/>
      <c r="AA5" s="77"/>
      <c r="AB5" s="77"/>
      <c r="AC5" s="77"/>
      <c r="AD5" s="77"/>
      <c r="AE5" s="77"/>
      <c r="AF5" s="77"/>
    </row>
    <row r="6" spans="1:32" ht="15" thickTop="1" thickBot="1">
      <c r="A6" s="77" t="s">
        <v>17</v>
      </c>
      <c r="B6" s="50">
        <f>'Energy data by fuel cycle'!B155</f>
        <v>9273238459.5900002</v>
      </c>
      <c r="C6" s="51"/>
      <c r="D6" s="52">
        <f>D58</f>
        <v>5619829780.1890917</v>
      </c>
      <c r="E6" s="50">
        <f>'Energy data by fuel cycle'!B131*unconv_oil_frac+E49+E55</f>
        <v>10063651880.483942</v>
      </c>
      <c r="F6" s="52">
        <f>G6</f>
        <v>9067350344.3160324</v>
      </c>
      <c r="G6" s="50">
        <f>E6*0.901</f>
        <v>9067350344.3160324</v>
      </c>
      <c r="H6" s="77" t="s">
        <v>379</v>
      </c>
      <c r="I6" s="77"/>
      <c r="J6" s="77"/>
      <c r="K6" s="77"/>
      <c r="L6" s="77"/>
      <c r="M6" s="77"/>
      <c r="N6" s="77"/>
      <c r="O6" s="77"/>
      <c r="P6" s="77"/>
      <c r="Q6" s="77"/>
      <c r="R6" s="77"/>
      <c r="S6" s="77"/>
      <c r="T6" s="77"/>
      <c r="U6" s="77"/>
      <c r="V6" s="77"/>
      <c r="W6" s="77"/>
      <c r="X6" s="77"/>
      <c r="Y6" s="77"/>
      <c r="Z6" s="77"/>
      <c r="AA6" s="77"/>
      <c r="AB6" s="77"/>
      <c r="AC6" s="77"/>
      <c r="AD6" s="77"/>
      <c r="AE6" s="77"/>
      <c r="AF6" s="77"/>
    </row>
    <row r="7" spans="1:32" ht="15" thickTop="1" thickBot="1">
      <c r="A7" s="77" t="s">
        <v>142</v>
      </c>
      <c r="B7" s="52">
        <f>340.781*5.797*GJ.per.mmbtu*10^6</f>
        <v>2085879058.6225901</v>
      </c>
      <c r="C7" s="51"/>
      <c r="D7" s="51"/>
      <c r="E7" s="52">
        <f>B7</f>
        <v>2085879058.6225901</v>
      </c>
      <c r="F7" s="52">
        <f>G7</f>
        <v>1286920670.3921402</v>
      </c>
      <c r="G7" s="50">
        <f>'Energy data by fuel cycle'!C133</f>
        <v>1286920670.3921402</v>
      </c>
      <c r="H7" s="77" t="s">
        <v>373</v>
      </c>
      <c r="I7" s="77"/>
      <c r="J7" s="77"/>
      <c r="K7" s="77"/>
      <c r="L7" s="77"/>
      <c r="M7" s="77"/>
      <c r="N7" s="77"/>
      <c r="O7" s="77"/>
      <c r="P7" s="77"/>
      <c r="Q7" s="77"/>
      <c r="R7" s="77"/>
      <c r="S7" s="77"/>
      <c r="T7" s="77"/>
      <c r="U7" s="77"/>
      <c r="V7" s="77"/>
      <c r="W7" s="77"/>
      <c r="X7" s="77"/>
      <c r="Y7" s="77"/>
      <c r="Z7" s="77"/>
      <c r="AA7" s="77"/>
      <c r="AB7" s="77"/>
      <c r="AC7" s="77"/>
      <c r="AD7" s="77"/>
      <c r="AE7" s="77"/>
      <c r="AF7" s="77"/>
    </row>
    <row r="8" spans="1:32" ht="15" thickTop="1" thickBot="1">
      <c r="A8" s="77" t="s">
        <v>143</v>
      </c>
      <c r="B8" s="52">
        <f>30.452*'Energy data by fuel cycle'!E134*10^6</f>
        <v>172309820.01316002</v>
      </c>
      <c r="C8" s="51"/>
      <c r="D8" s="51"/>
      <c r="E8" s="52">
        <f>B8</f>
        <v>172309820.01316002</v>
      </c>
      <c r="F8" s="52">
        <f>G8</f>
        <v>214470613.02899</v>
      </c>
      <c r="G8" s="50">
        <f>'Energy data by fuel cycle'!C134</f>
        <v>214470613.02899</v>
      </c>
      <c r="H8" s="77"/>
      <c r="I8" s="77"/>
      <c r="J8" s="77"/>
      <c r="K8" s="77"/>
      <c r="L8" s="77"/>
      <c r="M8" s="77"/>
      <c r="N8" s="77"/>
      <c r="O8" s="77"/>
      <c r="P8" s="77"/>
      <c r="Q8" s="77"/>
      <c r="R8" s="77"/>
      <c r="S8" s="77"/>
      <c r="T8" s="77"/>
      <c r="U8" s="77"/>
      <c r="V8" s="77"/>
      <c r="W8" s="77"/>
      <c r="X8" s="77"/>
      <c r="Y8" s="77"/>
      <c r="Z8" s="77"/>
      <c r="AA8" s="77"/>
      <c r="AB8" s="77"/>
      <c r="AC8" s="77"/>
      <c r="AD8" s="77"/>
      <c r="AE8" s="77"/>
      <c r="AF8" s="77"/>
    </row>
    <row r="9" spans="1:32" ht="15" thickTop="1" thickBot="1">
      <c r="A9" s="77" t="s">
        <v>73</v>
      </c>
      <c r="B9" s="52">
        <f>'Energy data by fuel cycle'!B139</f>
        <v>8418419974.999999</v>
      </c>
      <c r="C9" s="52">
        <v>8236000.0000000009</v>
      </c>
      <c r="D9" s="52">
        <f>B9</f>
        <v>8418419974.999999</v>
      </c>
      <c r="E9" s="50">
        <f>F9*Constants!A13/btu.kWh</f>
        <v>7831142711.2794991</v>
      </c>
      <c r="F9" s="50">
        <f>'Energy data by fuel cycle'!C180*'Energy data by fuel cycle'!$C$114</f>
        <v>2598259786.4471974</v>
      </c>
      <c r="G9" s="50">
        <f t="shared" ref="G9:G11" si="1">F9*(1-TD.loss)</f>
        <v>2466859905.1611905</v>
      </c>
      <c r="H9" s="77"/>
      <c r="I9" s="77"/>
      <c r="J9" s="77"/>
      <c r="K9" s="77"/>
      <c r="L9" s="77"/>
      <c r="M9" s="77"/>
      <c r="N9" s="77"/>
      <c r="O9" s="77"/>
      <c r="P9" s="77"/>
      <c r="Q9" s="77"/>
      <c r="R9" s="77"/>
      <c r="S9" s="77"/>
      <c r="T9" s="77"/>
      <c r="U9" s="77"/>
      <c r="V9" s="77"/>
      <c r="W9" s="77"/>
      <c r="X9" s="77"/>
      <c r="Y9" s="77"/>
      <c r="Z9" s="77"/>
      <c r="AA9" s="77"/>
      <c r="AB9" s="77"/>
      <c r="AC9" s="77"/>
      <c r="AD9" s="77"/>
      <c r="AE9" s="77"/>
      <c r="AF9" s="77"/>
    </row>
    <row r="10" spans="1:32" ht="15" thickTop="1" thickBot="1">
      <c r="A10" s="77" t="s">
        <v>74</v>
      </c>
      <c r="B10" s="52">
        <f>SUM('Energy data by fuel cycle'!B140,'Energy data by fuel cycle'!B141,'Energy data by fuel cycle'!B143)</f>
        <v>12234437475.999998</v>
      </c>
      <c r="C10" s="52">
        <v>8101040000</v>
      </c>
      <c r="D10" s="52">
        <f>B10</f>
        <v>12234437475.999998</v>
      </c>
      <c r="E10" s="50">
        <f>F10*Constants!A14/btu.kWh+E98</f>
        <v>9903716807.0928268</v>
      </c>
      <c r="F10" s="50">
        <f>'Energy data by fuel cycle'!C179*'Energy data by fuel cycle'!$C$114</f>
        <v>2786193011.9757895</v>
      </c>
      <c r="G10" s="50">
        <f>F10*(1-TD.loss)+G97+E98</f>
        <v>4190090253.0300932</v>
      </c>
      <c r="H10" s="77" t="s">
        <v>349</v>
      </c>
      <c r="I10" s="77"/>
      <c r="J10" s="77"/>
      <c r="K10" s="77"/>
      <c r="L10" s="77"/>
      <c r="M10" s="77"/>
      <c r="N10" s="77"/>
      <c r="O10" s="77"/>
      <c r="P10" s="77"/>
      <c r="Q10" s="77"/>
      <c r="R10" s="77"/>
      <c r="S10" s="77"/>
      <c r="T10" s="77"/>
      <c r="U10" s="77"/>
      <c r="V10" s="77"/>
      <c r="W10" s="77"/>
      <c r="X10" s="77"/>
      <c r="Y10" s="77"/>
      <c r="Z10" s="77"/>
      <c r="AA10" s="77"/>
      <c r="AB10" s="77"/>
      <c r="AC10" s="77"/>
      <c r="AD10" s="77"/>
      <c r="AE10" s="77"/>
      <c r="AF10" s="77"/>
    </row>
    <row r="11" spans="1:32" ht="15" thickTop="1" thickBot="1">
      <c r="A11" s="77" t="s">
        <v>20</v>
      </c>
      <c r="B11" s="52">
        <f>'Energy data by fuel cycle'!B142</f>
        <v>738426149.99999988</v>
      </c>
      <c r="C11" s="51"/>
      <c r="D11" s="52">
        <f>B11</f>
        <v>738426149.99999988</v>
      </c>
      <c r="E11" s="50">
        <f>F11*Constants!A15/btu.kWh</f>
        <v>717709031.32164168</v>
      </c>
      <c r="F11" s="50">
        <f>'Energy data by fuel cycle'!C181*'Energy data by fuel cycle'!$C$114</f>
        <v>309703201.57701296</v>
      </c>
      <c r="G11" s="50">
        <f t="shared" si="1"/>
        <v>294040809.33533448</v>
      </c>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row>
    <row r="12" spans="1:32" ht="15" thickTop="1" thickBot="1">
      <c r="A12" s="77" t="s">
        <v>18</v>
      </c>
      <c r="B12" s="54">
        <f t="shared" ref="B12:G13" si="2">B66</f>
        <v>18778668898.799114</v>
      </c>
      <c r="C12" s="54">
        <f t="shared" si="2"/>
        <v>11812271467.725056</v>
      </c>
      <c r="D12" s="54">
        <f t="shared" si="2"/>
        <v>17997660349.52599</v>
      </c>
      <c r="E12" s="54">
        <f t="shared" si="2"/>
        <v>4870843593.1274767</v>
      </c>
      <c r="F12" s="54">
        <f t="shared" si="2"/>
        <v>11809534465.552916</v>
      </c>
      <c r="G12" s="54">
        <f t="shared" si="2"/>
        <v>11703239212.777645</v>
      </c>
      <c r="H12" s="77" t="s">
        <v>351</v>
      </c>
      <c r="I12" s="77"/>
      <c r="J12" s="77"/>
      <c r="K12" s="77"/>
      <c r="L12" s="77"/>
      <c r="M12" s="77"/>
      <c r="N12" s="77"/>
      <c r="O12" s="77"/>
      <c r="P12" s="77"/>
      <c r="Q12" s="77"/>
      <c r="R12" s="77"/>
      <c r="S12" s="77"/>
      <c r="T12" s="77"/>
      <c r="U12" s="77"/>
      <c r="V12" s="77"/>
      <c r="W12" s="77"/>
      <c r="X12" s="77"/>
      <c r="Y12" s="77"/>
      <c r="Z12" s="77"/>
      <c r="AA12" s="77"/>
      <c r="AB12" s="77"/>
      <c r="AC12" s="77"/>
      <c r="AD12" s="77"/>
      <c r="AE12" s="77"/>
      <c r="AF12" s="77"/>
    </row>
    <row r="13" spans="1:32" ht="15" thickTop="1" thickBot="1">
      <c r="A13" s="77" t="s">
        <v>19</v>
      </c>
      <c r="B13" s="54">
        <f t="shared" si="2"/>
        <v>17798742753.19434</v>
      </c>
      <c r="C13" s="54">
        <f t="shared" si="2"/>
        <v>11195872418.751713</v>
      </c>
      <c r="D13" s="54">
        <f t="shared" si="2"/>
        <v>17058489525.90373</v>
      </c>
      <c r="E13" s="54">
        <f t="shared" si="2"/>
        <v>4616668655.9271975</v>
      </c>
      <c r="F13" s="54">
        <f t="shared" si="2"/>
        <v>11193278241.398706</v>
      </c>
      <c r="G13" s="54">
        <f t="shared" si="2"/>
        <v>11092529787.382683</v>
      </c>
      <c r="H13" s="77" t="s">
        <v>351</v>
      </c>
      <c r="I13" s="77"/>
      <c r="J13" s="77"/>
      <c r="K13" s="77"/>
      <c r="L13" s="77"/>
      <c r="M13" s="77"/>
      <c r="N13" s="77"/>
      <c r="O13" s="77"/>
      <c r="P13" s="77"/>
      <c r="Q13" s="77"/>
      <c r="R13" s="77"/>
      <c r="S13" s="77"/>
      <c r="T13" s="77"/>
      <c r="U13" s="77"/>
      <c r="V13" s="77"/>
      <c r="W13" s="77"/>
      <c r="X13" s="77"/>
      <c r="Y13" s="77"/>
      <c r="Z13" s="77"/>
      <c r="AA13" s="77"/>
      <c r="AB13" s="77"/>
      <c r="AC13" s="77"/>
      <c r="AD13" s="77"/>
      <c r="AE13" s="77"/>
      <c r="AF13" s="77"/>
    </row>
    <row r="14" spans="1:32" ht="15" thickTop="1" thickBot="1">
      <c r="A14" s="77" t="s">
        <v>28</v>
      </c>
      <c r="B14" s="50">
        <v>1076933172.9856274</v>
      </c>
      <c r="C14" s="50">
        <v>8796955773.2708092</v>
      </c>
      <c r="D14" s="52">
        <f>E14</f>
        <v>8796955773.2708092</v>
      </c>
      <c r="E14" s="50">
        <f>F14*Constants!A16/btu.kWh</f>
        <v>8796955773.2708092</v>
      </c>
      <c r="F14" s="50">
        <f>'Energy data by fuel cycle'!B116*GJ.per.GWh</f>
        <v>2869797600</v>
      </c>
      <c r="G14" s="50">
        <f t="shared" ref="G14:G21" si="3">F14*(1-TD.loss)</f>
        <v>2724665436.5720725</v>
      </c>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row>
    <row r="15" spans="1:32" ht="15" thickTop="1" thickBot="1">
      <c r="A15" s="77" t="s">
        <v>29</v>
      </c>
      <c r="B15" s="54">
        <f>E15</f>
        <v>933721200</v>
      </c>
      <c r="C15" s="54">
        <f>E15</f>
        <v>933721200</v>
      </c>
      <c r="D15" s="54">
        <f>E15</f>
        <v>933721200</v>
      </c>
      <c r="E15" s="54">
        <f>F15</f>
        <v>933721200</v>
      </c>
      <c r="F15" s="50">
        <f>'Energy data by fuel cycle'!B117*GJ.per.GWh</f>
        <v>933721200</v>
      </c>
      <c r="G15" s="50">
        <f t="shared" si="3"/>
        <v>886500804.45903194</v>
      </c>
      <c r="H15" s="77" t="s">
        <v>287</v>
      </c>
      <c r="I15" s="77"/>
      <c r="J15" s="77"/>
      <c r="K15" s="77"/>
      <c r="L15" s="77"/>
      <c r="M15" s="77"/>
      <c r="N15" s="77"/>
      <c r="O15" s="77"/>
      <c r="P15" s="77"/>
      <c r="Q15" s="77"/>
      <c r="R15" s="77"/>
      <c r="S15" s="77"/>
      <c r="T15" s="77"/>
      <c r="U15" s="77"/>
      <c r="V15" s="77"/>
      <c r="W15" s="77"/>
      <c r="X15" s="77"/>
      <c r="Y15" s="77"/>
      <c r="Z15" s="77"/>
      <c r="AA15" s="77"/>
      <c r="AB15" s="77"/>
      <c r="AC15" s="77"/>
      <c r="AD15" s="77"/>
      <c r="AE15" s="77"/>
      <c r="AF15" s="77"/>
    </row>
    <row r="16" spans="1:32" ht="15" thickTop="1" thickBot="1">
      <c r="A16" s="77" t="s">
        <v>5</v>
      </c>
      <c r="B16" s="54">
        <f t="shared" ref="B16:B21" si="4">E16</f>
        <v>653958000</v>
      </c>
      <c r="C16" s="54">
        <f t="shared" ref="C16:C21" si="5">E16</f>
        <v>653958000</v>
      </c>
      <c r="D16" s="54">
        <f t="shared" ref="D16:D21" si="6">E16</f>
        <v>653958000</v>
      </c>
      <c r="E16" s="54">
        <f>F16</f>
        <v>653958000</v>
      </c>
      <c r="F16" s="50">
        <f>'Energy data by fuel cycle'!B118*GJ.per.GWh</f>
        <v>653958000</v>
      </c>
      <c r="G16" s="50">
        <f t="shared" si="3"/>
        <v>620885863.02037442</v>
      </c>
      <c r="H16" s="77" t="s">
        <v>287</v>
      </c>
      <c r="I16" s="77"/>
      <c r="J16" s="77"/>
      <c r="K16" s="77"/>
      <c r="L16" s="77"/>
      <c r="M16" s="77"/>
      <c r="N16" s="77"/>
      <c r="O16" s="77"/>
      <c r="P16" s="77"/>
      <c r="Q16" s="77"/>
      <c r="R16" s="77"/>
      <c r="S16" s="77"/>
      <c r="T16" s="77"/>
      <c r="U16" s="77"/>
      <c r="V16" s="77"/>
      <c r="W16" s="77"/>
      <c r="X16" s="77"/>
      <c r="Y16" s="77"/>
      <c r="Z16" s="77"/>
      <c r="AA16" s="77"/>
      <c r="AB16" s="77"/>
      <c r="AC16" s="77"/>
      <c r="AD16" s="77"/>
      <c r="AE16" s="77"/>
      <c r="AF16" s="77"/>
    </row>
    <row r="17" spans="1:32" ht="15" thickTop="1" thickBot="1">
      <c r="A17" s="77" t="s">
        <v>288</v>
      </c>
      <c r="B17" s="52">
        <v>1854537182.1949999</v>
      </c>
      <c r="C17" s="52">
        <f>B17</f>
        <v>1854537182.1949999</v>
      </c>
      <c r="D17" s="52">
        <f>B17</f>
        <v>1854537182.1949999</v>
      </c>
      <c r="E17" s="50">
        <f>'Energy data by fuel cycle'!B119*GJ.per.GWh</f>
        <v>214972376.47058824</v>
      </c>
      <c r="F17" s="50">
        <v>1304142005.5405886</v>
      </c>
      <c r="G17" s="50">
        <v>1293270365.6470926</v>
      </c>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row>
    <row r="18" spans="1:32" ht="15" thickTop="1" thickBot="1">
      <c r="A18" s="77" t="s">
        <v>374</v>
      </c>
      <c r="B18" s="52">
        <v>62408043.840000004</v>
      </c>
      <c r="C18" s="52">
        <f>B18</f>
        <v>62408043.840000004</v>
      </c>
      <c r="D18" s="52">
        <f>C18</f>
        <v>62408043.840000004</v>
      </c>
      <c r="E18" s="50">
        <f>'Energy data by fuel cycle'!B120*GJ.per.GWh</f>
        <v>40392000</v>
      </c>
      <c r="F18" s="50">
        <f>'Energy data by fuel cycle'!B120*GJ.per.GWh</f>
        <v>40392000</v>
      </c>
      <c r="G18" s="50">
        <v>60365328.930355906</v>
      </c>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row>
    <row r="19" spans="1:32" ht="15" thickTop="1" thickBot="1">
      <c r="A19" s="77" t="s">
        <v>6</v>
      </c>
      <c r="B19" s="54">
        <f t="shared" si="4"/>
        <v>57157200</v>
      </c>
      <c r="C19" s="54">
        <f t="shared" si="5"/>
        <v>57157200</v>
      </c>
      <c r="D19" s="54">
        <f t="shared" si="6"/>
        <v>57157200</v>
      </c>
      <c r="E19" s="54">
        <f>F19</f>
        <v>57157200</v>
      </c>
      <c r="F19" s="50">
        <f>'Energy data by fuel cycle'!B121*GJ.per.GWh</f>
        <v>57157200</v>
      </c>
      <c r="G19" s="50">
        <f t="shared" si="3"/>
        <v>54266630.960746937</v>
      </c>
      <c r="H19" s="77" t="s">
        <v>287</v>
      </c>
      <c r="I19" s="77"/>
      <c r="J19" s="77"/>
      <c r="K19" s="77"/>
      <c r="L19" s="77"/>
      <c r="M19" s="77"/>
      <c r="N19" s="77"/>
      <c r="O19" s="77"/>
      <c r="P19" s="77"/>
      <c r="Q19" s="77"/>
      <c r="R19" s="77"/>
      <c r="S19" s="77"/>
      <c r="T19" s="77"/>
      <c r="U19" s="77"/>
      <c r="V19" s="77"/>
      <c r="W19" s="77"/>
      <c r="X19" s="77"/>
      <c r="Y19" s="77"/>
      <c r="Z19" s="77"/>
      <c r="AA19" s="77"/>
      <c r="AB19" s="77"/>
      <c r="AC19" s="77"/>
      <c r="AD19" s="77"/>
      <c r="AE19" s="77"/>
      <c r="AF19" s="77"/>
    </row>
    <row r="20" spans="1:32" ht="15" thickTop="1" thickBot="1">
      <c r="A20" s="77" t="s">
        <v>38</v>
      </c>
      <c r="B20" s="54">
        <f t="shared" si="4"/>
        <v>95335200</v>
      </c>
      <c r="C20" s="54">
        <f t="shared" si="5"/>
        <v>95335200</v>
      </c>
      <c r="D20" s="54">
        <f t="shared" si="6"/>
        <v>95335200</v>
      </c>
      <c r="E20" s="54">
        <f>F20</f>
        <v>95335200</v>
      </c>
      <c r="F20" s="50">
        <f>'Energy data by fuel cycle'!B122*GJ.per.GWh</f>
        <v>95335200</v>
      </c>
      <c r="G20" s="50">
        <f t="shared" si="3"/>
        <v>90513883.044813275</v>
      </c>
      <c r="H20" s="77" t="s">
        <v>287</v>
      </c>
      <c r="I20" s="77"/>
      <c r="J20" s="77"/>
      <c r="K20" s="77"/>
      <c r="L20" s="77"/>
      <c r="M20" s="77"/>
      <c r="N20" s="77"/>
      <c r="O20" s="77"/>
      <c r="P20" s="77"/>
      <c r="Q20" s="77"/>
      <c r="R20" s="77"/>
      <c r="S20" s="77"/>
      <c r="T20" s="77"/>
      <c r="U20" s="77"/>
      <c r="V20" s="77"/>
      <c r="W20" s="77"/>
      <c r="X20" s="77"/>
      <c r="Y20" s="77"/>
      <c r="Z20" s="77"/>
      <c r="AA20" s="77"/>
      <c r="AB20" s="77"/>
      <c r="AC20" s="77"/>
      <c r="AD20" s="77"/>
      <c r="AE20" s="77"/>
      <c r="AF20" s="77"/>
    </row>
    <row r="21" spans="1:32" ht="15" thickTop="1" thickBot="1">
      <c r="A21" s="77" t="s">
        <v>39</v>
      </c>
      <c r="B21" s="54">
        <f t="shared" si="4"/>
        <v>8787600</v>
      </c>
      <c r="C21" s="54">
        <f t="shared" si="5"/>
        <v>8787600</v>
      </c>
      <c r="D21" s="54">
        <f t="shared" si="6"/>
        <v>8787600</v>
      </c>
      <c r="E21" s="54">
        <f>F21</f>
        <v>8787600</v>
      </c>
      <c r="F21" s="50">
        <f>'Energy data by fuel cycle'!B123*GJ.per.GWh</f>
        <v>8787600</v>
      </c>
      <c r="G21" s="50">
        <f t="shared" si="3"/>
        <v>8343191.1680533644</v>
      </c>
      <c r="H21" s="77" t="s">
        <v>287</v>
      </c>
      <c r="I21" s="77"/>
      <c r="J21" s="77"/>
      <c r="K21" s="77"/>
      <c r="L21" s="77"/>
      <c r="M21" s="77"/>
      <c r="N21" s="77"/>
      <c r="O21" s="77"/>
      <c r="P21" s="77"/>
      <c r="Q21" s="77"/>
      <c r="R21" s="77"/>
      <c r="S21" s="77"/>
      <c r="T21" s="77"/>
      <c r="U21" s="77"/>
      <c r="V21" s="77"/>
      <c r="W21" s="77"/>
      <c r="X21" s="77"/>
      <c r="Y21" s="77"/>
      <c r="Z21" s="77"/>
      <c r="AA21" s="77"/>
      <c r="AB21" s="77"/>
      <c r="AC21" s="77"/>
      <c r="AD21" s="77"/>
      <c r="AE21" s="77"/>
      <c r="AF21" s="77"/>
    </row>
    <row r="22" spans="1:32" ht="14" thickTop="1">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row>
    <row r="23" spans="1:32">
      <c r="A23" s="216" t="s">
        <v>77</v>
      </c>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row>
    <row r="24" spans="1:32" ht="26">
      <c r="A24" s="77"/>
      <c r="B24" s="549" t="s">
        <v>65</v>
      </c>
      <c r="C24" s="549" t="s">
        <v>66</v>
      </c>
      <c r="D24" s="549" t="s">
        <v>67</v>
      </c>
      <c r="E24" s="549" t="s">
        <v>68</v>
      </c>
      <c r="F24" s="549" t="s">
        <v>69</v>
      </c>
      <c r="G24" s="550" t="s">
        <v>75</v>
      </c>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row>
    <row r="25" spans="1:32">
      <c r="A25" s="216" t="s">
        <v>34</v>
      </c>
      <c r="B25" s="556" t="s">
        <v>76</v>
      </c>
      <c r="C25" s="556" t="s">
        <v>76</v>
      </c>
      <c r="D25" s="556" t="s">
        <v>76</v>
      </c>
      <c r="E25" s="556" t="s">
        <v>76</v>
      </c>
      <c r="F25" s="556" t="s">
        <v>76</v>
      </c>
      <c r="G25" s="556" t="s">
        <v>76</v>
      </c>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row>
    <row r="26" spans="1:32">
      <c r="A26" s="216" t="s">
        <v>83</v>
      </c>
      <c r="B26" s="58">
        <f t="shared" ref="B26:G26" si="7">B4/$G4</f>
        <v>1.1797588626155031</v>
      </c>
      <c r="C26" s="58">
        <f t="shared" si="7"/>
        <v>0.61064750665208789</v>
      </c>
      <c r="D26" s="58">
        <f t="shared" si="7"/>
        <v>1.2641472692229241</v>
      </c>
      <c r="E26" s="58">
        <f t="shared" si="7"/>
        <v>1.1091567988552042</v>
      </c>
      <c r="F26" s="58">
        <f t="shared" si="7"/>
        <v>0.98843571704955002</v>
      </c>
      <c r="G26" s="58">
        <f t="shared" si="7"/>
        <v>1</v>
      </c>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row>
    <row r="27" spans="1:32">
      <c r="A27" s="77" t="s">
        <v>16</v>
      </c>
      <c r="B27" s="58">
        <f t="shared" ref="B27:G27" si="8">B5/$G5</f>
        <v>0.3932078620302738</v>
      </c>
      <c r="C27" s="58">
        <f t="shared" si="8"/>
        <v>0</v>
      </c>
      <c r="D27" s="58">
        <f t="shared" si="8"/>
        <v>0.61978743147516557</v>
      </c>
      <c r="E27" s="58">
        <f t="shared" si="8"/>
        <v>1.1098779134295227</v>
      </c>
      <c r="F27" s="58">
        <f t="shared" si="8"/>
        <v>1</v>
      </c>
      <c r="G27" s="58">
        <f t="shared" si="8"/>
        <v>1</v>
      </c>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row>
    <row r="28" spans="1:32">
      <c r="A28" s="77" t="s">
        <v>17</v>
      </c>
      <c r="B28" s="58">
        <f t="shared" ref="B28:G28" si="9">B6/$G6</f>
        <v>1.0227065358076775</v>
      </c>
      <c r="C28" s="58">
        <f t="shared" si="9"/>
        <v>0</v>
      </c>
      <c r="D28" s="58">
        <f t="shared" si="9"/>
        <v>0.61978743147516557</v>
      </c>
      <c r="E28" s="58">
        <f t="shared" si="9"/>
        <v>1.1098779134295227</v>
      </c>
      <c r="F28" s="58">
        <f t="shared" si="9"/>
        <v>1</v>
      </c>
      <c r="G28" s="58">
        <f t="shared" si="9"/>
        <v>1</v>
      </c>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row>
    <row r="29" spans="1:32">
      <c r="A29" s="77" t="s">
        <v>60</v>
      </c>
      <c r="B29" s="58">
        <f t="shared" ref="B29:G29" si="10">B7/$G7</f>
        <v>1.620829555862987</v>
      </c>
      <c r="C29" s="58">
        <f t="shared" si="10"/>
        <v>0</v>
      </c>
      <c r="D29" s="58">
        <f t="shared" si="10"/>
        <v>0</v>
      </c>
      <c r="E29" s="58">
        <f t="shared" si="10"/>
        <v>1.620829555862987</v>
      </c>
      <c r="F29" s="58">
        <f t="shared" si="10"/>
        <v>1</v>
      </c>
      <c r="G29" s="58">
        <f t="shared" si="10"/>
        <v>1</v>
      </c>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row>
    <row r="30" spans="1:32">
      <c r="A30" s="77" t="s">
        <v>73</v>
      </c>
      <c r="B30" s="58">
        <f t="shared" ref="B30:G30" si="11">B9/$G9</f>
        <v>3.4126056195517593</v>
      </c>
      <c r="C30" s="58">
        <f t="shared" si="11"/>
        <v>3.3386573687336496E-3</v>
      </c>
      <c r="D30" s="58">
        <f t="shared" si="11"/>
        <v>3.4126056195517593</v>
      </c>
      <c r="E30" s="58">
        <f t="shared" si="11"/>
        <v>3.174538892498556</v>
      </c>
      <c r="F30" s="58">
        <f t="shared" si="11"/>
        <v>1.0532660492843922</v>
      </c>
      <c r="G30" s="58">
        <f t="shared" si="11"/>
        <v>1</v>
      </c>
      <c r="H30" s="77"/>
      <c r="I30" s="77"/>
      <c r="J30" s="77"/>
      <c r="K30" s="77"/>
      <c r="L30" s="77"/>
      <c r="M30" s="77"/>
      <c r="N30" s="77"/>
      <c r="O30" s="77"/>
      <c r="P30" s="532"/>
      <c r="Q30" s="77"/>
      <c r="R30" s="77"/>
      <c r="S30" s="77"/>
      <c r="T30" s="77"/>
      <c r="U30" s="77"/>
      <c r="V30" s="77"/>
      <c r="W30" s="77"/>
      <c r="X30" s="77"/>
      <c r="Y30" s="77"/>
      <c r="Z30" s="77"/>
      <c r="AA30" s="77"/>
      <c r="AB30" s="77"/>
      <c r="AC30" s="77"/>
      <c r="AD30" s="77"/>
      <c r="AE30" s="77"/>
      <c r="AF30" s="77"/>
    </row>
    <row r="31" spans="1:32">
      <c r="A31" s="77" t="s">
        <v>74</v>
      </c>
      <c r="B31" s="58">
        <f t="shared" ref="B31:G31" si="12">B10/$G10</f>
        <v>2.9198505848776355</v>
      </c>
      <c r="C31" s="58">
        <f t="shared" si="12"/>
        <v>1.9333807891468868</v>
      </c>
      <c r="D31" s="58">
        <f t="shared" si="12"/>
        <v>2.9198505848776355</v>
      </c>
      <c r="E31" s="58">
        <f t="shared" si="12"/>
        <v>2.3636046502652026</v>
      </c>
      <c r="F31" s="58">
        <f t="shared" si="12"/>
        <v>0.66494820963842827</v>
      </c>
      <c r="G31" s="58">
        <f t="shared" si="12"/>
        <v>1</v>
      </c>
      <c r="H31" s="77"/>
      <c r="I31" s="77"/>
      <c r="J31" s="532"/>
      <c r="K31" s="77"/>
      <c r="L31" s="77"/>
      <c r="M31" s="77"/>
      <c r="N31" s="77"/>
      <c r="O31" s="77"/>
      <c r="P31" s="532"/>
      <c r="Q31" s="77"/>
      <c r="R31" s="77"/>
      <c r="S31" s="77"/>
      <c r="T31" s="77"/>
      <c r="U31" s="77"/>
      <c r="V31" s="77"/>
      <c r="W31" s="77"/>
      <c r="X31" s="77"/>
      <c r="Y31" s="77"/>
      <c r="Z31" s="77"/>
      <c r="AA31" s="77"/>
      <c r="AB31" s="77"/>
      <c r="AC31" s="77"/>
      <c r="AD31" s="77"/>
      <c r="AE31" s="77"/>
      <c r="AF31" s="77"/>
    </row>
    <row r="32" spans="1:32">
      <c r="A32" s="77" t="s">
        <v>20</v>
      </c>
      <c r="B32" s="58">
        <f t="shared" ref="B32:G32" si="13">B11/$G11</f>
        <v>2.5113049840570691</v>
      </c>
      <c r="C32" s="58">
        <f t="shared" si="13"/>
        <v>0</v>
      </c>
      <c r="D32" s="58">
        <f t="shared" si="13"/>
        <v>2.5113049840570691</v>
      </c>
      <c r="E32" s="58">
        <f t="shared" si="13"/>
        <v>2.4408483738838478</v>
      </c>
      <c r="F32" s="58">
        <f t="shared" si="13"/>
        <v>1.0532660492843922</v>
      </c>
      <c r="G32" s="58">
        <f t="shared" si="13"/>
        <v>1</v>
      </c>
      <c r="H32" s="77"/>
      <c r="I32" s="77"/>
      <c r="J32" s="532"/>
      <c r="K32" s="285"/>
      <c r="L32" s="77"/>
      <c r="M32" s="77"/>
      <c r="N32" s="77"/>
      <c r="O32" s="77"/>
      <c r="P32" s="77"/>
      <c r="Q32" s="77"/>
      <c r="R32" s="77"/>
      <c r="S32" s="77"/>
      <c r="T32" s="77"/>
      <c r="U32" s="77"/>
      <c r="V32" s="77"/>
      <c r="W32" s="77"/>
      <c r="X32" s="77"/>
      <c r="Y32" s="77"/>
      <c r="Z32" s="77"/>
      <c r="AA32" s="77"/>
      <c r="AB32" s="77"/>
      <c r="AC32" s="77"/>
      <c r="AD32" s="77"/>
      <c r="AE32" s="77"/>
      <c r="AF32" s="77"/>
    </row>
    <row r="33" spans="1:32">
      <c r="A33" s="77" t="s">
        <v>18</v>
      </c>
      <c r="B33" s="58">
        <f t="shared" ref="B33:G33" si="14">B12/$G12</f>
        <v>1.6045702012393701</v>
      </c>
      <c r="C33" s="58">
        <f t="shared" si="14"/>
        <v>1.0093164168453781</v>
      </c>
      <c r="D33" s="58">
        <f t="shared" si="14"/>
        <v>1.5378358095830484</v>
      </c>
      <c r="E33" s="58">
        <f t="shared" si="14"/>
        <v>0.41619619188929075</v>
      </c>
      <c r="F33" s="58">
        <f t="shared" si="14"/>
        <v>1.0090825497832443</v>
      </c>
      <c r="G33" s="58">
        <f t="shared" si="14"/>
        <v>1</v>
      </c>
      <c r="H33" s="77"/>
      <c r="I33" s="77" t="s">
        <v>173</v>
      </c>
      <c r="J33" s="77"/>
      <c r="K33" s="77"/>
      <c r="L33" s="77"/>
      <c r="M33" s="77"/>
      <c r="N33" s="77"/>
      <c r="O33" s="77"/>
      <c r="P33" s="77"/>
      <c r="Q33" s="77"/>
      <c r="R33" s="77"/>
      <c r="S33" s="77"/>
      <c r="T33" s="77"/>
      <c r="U33" s="77"/>
      <c r="V33" s="77"/>
      <c r="W33" s="77"/>
      <c r="X33" s="77"/>
      <c r="Y33" s="77"/>
      <c r="Z33" s="77"/>
      <c r="AA33" s="77"/>
      <c r="AB33" s="77"/>
      <c r="AC33" s="77"/>
      <c r="AD33" s="77"/>
      <c r="AE33" s="77"/>
      <c r="AF33" s="77"/>
    </row>
    <row r="34" spans="1:32">
      <c r="A34" s="77" t="s">
        <v>19</v>
      </c>
      <c r="B34" s="58">
        <f t="shared" ref="B34:G34" si="15">B13/$G13</f>
        <v>1.6045702012393701</v>
      </c>
      <c r="C34" s="58">
        <f t="shared" si="15"/>
        <v>1.0093164168453781</v>
      </c>
      <c r="D34" s="58">
        <f t="shared" si="15"/>
        <v>1.5378358095830487</v>
      </c>
      <c r="E34" s="58">
        <f t="shared" si="15"/>
        <v>0.41619619188929086</v>
      </c>
      <c r="F34" s="58">
        <f t="shared" si="15"/>
        <v>1.0090825497832443</v>
      </c>
      <c r="G34" s="58">
        <f t="shared" si="15"/>
        <v>1</v>
      </c>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row>
    <row r="35" spans="1:32">
      <c r="A35" s="77" t="s">
        <v>28</v>
      </c>
      <c r="B35" s="58">
        <f t="shared" ref="B35:G35" si="16">B14/$G14</f>
        <v>0.39525336157988161</v>
      </c>
      <c r="C35" s="58">
        <f t="shared" si="16"/>
        <v>3.2286370484951514</v>
      </c>
      <c r="D35" s="58">
        <f t="shared" si="16"/>
        <v>3.2286370484951514</v>
      </c>
      <c r="E35" s="58">
        <f t="shared" si="16"/>
        <v>3.2286370484951514</v>
      </c>
      <c r="F35" s="58">
        <f t="shared" si="16"/>
        <v>1.0532660492843919</v>
      </c>
      <c r="G35" s="58">
        <f t="shared" si="16"/>
        <v>1</v>
      </c>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row>
    <row r="36" spans="1:32">
      <c r="A36" s="77" t="s">
        <v>29</v>
      </c>
      <c r="B36" s="58">
        <f t="shared" ref="B36:G36" si="17">B15/$G15</f>
        <v>1.0532660492843922</v>
      </c>
      <c r="C36" s="58">
        <f t="shared" si="17"/>
        <v>1.0532660492843922</v>
      </c>
      <c r="D36" s="58">
        <f t="shared" si="17"/>
        <v>1.0532660492843922</v>
      </c>
      <c r="E36" s="58">
        <f t="shared" si="17"/>
        <v>1.0532660492843922</v>
      </c>
      <c r="F36" s="58">
        <f t="shared" si="17"/>
        <v>1.0532660492843922</v>
      </c>
      <c r="G36" s="58">
        <f t="shared" si="17"/>
        <v>1</v>
      </c>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row>
    <row r="37" spans="1:32">
      <c r="A37" s="77" t="s">
        <v>5</v>
      </c>
      <c r="B37" s="58">
        <f t="shared" ref="B37:G37" si="18">B16/$G16</f>
        <v>1.0532660492843922</v>
      </c>
      <c r="C37" s="58">
        <f t="shared" si="18"/>
        <v>1.0532660492843922</v>
      </c>
      <c r="D37" s="58">
        <f t="shared" si="18"/>
        <v>1.0532660492843922</v>
      </c>
      <c r="E37" s="58">
        <f t="shared" si="18"/>
        <v>1.0532660492843922</v>
      </c>
      <c r="F37" s="58">
        <f t="shared" si="18"/>
        <v>1.0532660492843922</v>
      </c>
      <c r="G37" s="58">
        <f t="shared" si="18"/>
        <v>1</v>
      </c>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row>
    <row r="38" spans="1:32">
      <c r="A38" s="77" t="s">
        <v>37</v>
      </c>
      <c r="B38" s="58">
        <f t="shared" ref="B38:G38" si="19">B17/$G17</f>
        <v>1.433990317459316</v>
      </c>
      <c r="C38" s="58">
        <f t="shared" si="19"/>
        <v>1.433990317459316</v>
      </c>
      <c r="D38" s="58">
        <f t="shared" si="19"/>
        <v>1.433990317459316</v>
      </c>
      <c r="E38" s="58">
        <f t="shared" si="19"/>
        <v>0.16622384783635402</v>
      </c>
      <c r="F38" s="58">
        <f t="shared" si="19"/>
        <v>1.008406316407054</v>
      </c>
      <c r="G38" s="58">
        <f t="shared" si="19"/>
        <v>1</v>
      </c>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row>
    <row r="39" spans="1:32">
      <c r="A39" s="77" t="s">
        <v>61</v>
      </c>
      <c r="B39" s="58">
        <f t="shared" ref="B39:G39" si="20">B18/$G18</f>
        <v>1.0338392078009018</v>
      </c>
      <c r="C39" s="58">
        <f t="shared" si="20"/>
        <v>1.0338392078009018</v>
      </c>
      <c r="D39" s="58">
        <f t="shared" si="20"/>
        <v>1.0338392078009018</v>
      </c>
      <c r="E39" s="58">
        <f t="shared" si="20"/>
        <v>0.66912581635396473</v>
      </c>
      <c r="F39" s="58">
        <f t="shared" si="20"/>
        <v>0.66912581635396473</v>
      </c>
      <c r="G39" s="58">
        <f t="shared" si="20"/>
        <v>1</v>
      </c>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row>
    <row r="40" spans="1:32">
      <c r="A40" s="77" t="s">
        <v>6</v>
      </c>
      <c r="B40" s="58">
        <f t="shared" ref="B40:G40" si="21">B19/$G19</f>
        <v>1.0532660492843922</v>
      </c>
      <c r="C40" s="58">
        <f t="shared" si="21"/>
        <v>1.0532660492843922</v>
      </c>
      <c r="D40" s="58">
        <f t="shared" si="21"/>
        <v>1.0532660492843922</v>
      </c>
      <c r="E40" s="58">
        <f t="shared" si="21"/>
        <v>1.0532660492843922</v>
      </c>
      <c r="F40" s="58">
        <f t="shared" si="21"/>
        <v>1.0532660492843922</v>
      </c>
      <c r="G40" s="58">
        <f t="shared" si="21"/>
        <v>1</v>
      </c>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row>
    <row r="41" spans="1:32">
      <c r="A41" s="77" t="s">
        <v>38</v>
      </c>
      <c r="B41" s="58">
        <f t="shared" ref="B41:G41" si="22">B20/$G20</f>
        <v>1.0532660492843922</v>
      </c>
      <c r="C41" s="58">
        <f t="shared" si="22"/>
        <v>1.0532660492843922</v>
      </c>
      <c r="D41" s="58">
        <f t="shared" si="22"/>
        <v>1.0532660492843922</v>
      </c>
      <c r="E41" s="58">
        <f t="shared" si="22"/>
        <v>1.0532660492843922</v>
      </c>
      <c r="F41" s="58">
        <f t="shared" si="22"/>
        <v>1.0532660492843922</v>
      </c>
      <c r="G41" s="58">
        <f t="shared" si="22"/>
        <v>1</v>
      </c>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row>
    <row r="42" spans="1:32">
      <c r="A42" s="77" t="s">
        <v>39</v>
      </c>
      <c r="B42" s="58">
        <f t="shared" ref="B42:G42" si="23">B21/$G21</f>
        <v>1.0532660492843922</v>
      </c>
      <c r="C42" s="58">
        <f t="shared" si="23"/>
        <v>1.0532660492843922</v>
      </c>
      <c r="D42" s="58">
        <f t="shared" si="23"/>
        <v>1.0532660492843922</v>
      </c>
      <c r="E42" s="58">
        <f t="shared" si="23"/>
        <v>1.0532660492843922</v>
      </c>
      <c r="F42" s="58">
        <f t="shared" si="23"/>
        <v>1.0532660492843922</v>
      </c>
      <c r="G42" s="58">
        <f t="shared" si="23"/>
        <v>1</v>
      </c>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row>
    <row r="43" spans="1:32">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row>
    <row r="44" spans="1:32">
      <c r="A44" s="544" t="s">
        <v>86</v>
      </c>
      <c r="B44" s="561"/>
      <c r="C44" s="561"/>
      <c r="D44" s="561"/>
      <c r="E44" s="561"/>
      <c r="F44" s="561"/>
      <c r="G44" s="561"/>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row>
    <row r="45" spans="1:32" ht="26">
      <c r="A45" s="77"/>
      <c r="B45" s="549" t="s">
        <v>65</v>
      </c>
      <c r="C45" s="549" t="s">
        <v>66</v>
      </c>
      <c r="D45" s="549" t="s">
        <v>67</v>
      </c>
      <c r="E45" s="549" t="s">
        <v>68</v>
      </c>
      <c r="F45" s="549" t="s">
        <v>69</v>
      </c>
      <c r="G45" s="550" t="s">
        <v>75</v>
      </c>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row>
    <row r="46" spans="1:32">
      <c r="A46" s="545" t="s">
        <v>12</v>
      </c>
      <c r="B46" s="556" t="s">
        <v>40</v>
      </c>
      <c r="C46" s="556" t="s">
        <v>40</v>
      </c>
      <c r="D46" s="556" t="s">
        <v>40</v>
      </c>
      <c r="E46" s="556" t="s">
        <v>40</v>
      </c>
      <c r="F46" s="556" t="s">
        <v>40</v>
      </c>
      <c r="G46" s="557" t="s">
        <v>40</v>
      </c>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row>
    <row r="47" spans="1:32">
      <c r="A47" s="77" t="s">
        <v>35</v>
      </c>
      <c r="B47" s="77"/>
      <c r="C47" s="77"/>
      <c r="D47" s="77"/>
      <c r="E47" s="532">
        <f>'Energy data by fuel cycle'!C124*Constants!A17/btu.kWh</f>
        <v>556452003.06185782</v>
      </c>
      <c r="F47" s="532">
        <f>'Energy data by fuel cycle'!C124</f>
        <v>175570023.52941176</v>
      </c>
      <c r="G47" s="532">
        <f>F47</f>
        <v>175570023.52941176</v>
      </c>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row>
    <row r="48" spans="1:32">
      <c r="A48" s="531" t="s">
        <v>42</v>
      </c>
      <c r="B48" s="77"/>
      <c r="C48" s="77"/>
      <c r="D48" s="77"/>
      <c r="E48" s="532">
        <f>E47-E49</f>
        <v>409695404.60284358</v>
      </c>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row>
    <row r="49" spans="1:32">
      <c r="A49" s="531" t="s">
        <v>41</v>
      </c>
      <c r="B49" s="77"/>
      <c r="C49" s="77"/>
      <c r="D49" s="77"/>
      <c r="E49" s="532">
        <f>E47*'Energy data by fuel cycle'!$B$131*unconv_oil_frac/'Energy data by fuel cycle'!$B$132</f>
        <v>146756598.45901424</v>
      </c>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row>
    <row r="50" spans="1:32">
      <c r="A50" s="77" t="s">
        <v>87</v>
      </c>
      <c r="B50" s="77"/>
      <c r="C50" s="77"/>
      <c r="D50" s="77"/>
      <c r="E50" s="532"/>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row>
    <row r="51" spans="1:32">
      <c r="A51" s="531" t="s">
        <v>42</v>
      </c>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row>
    <row r="52" spans="1:32">
      <c r="A52" s="531" t="s">
        <v>41</v>
      </c>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row>
    <row r="53" spans="1:32">
      <c r="A53" s="530" t="s">
        <v>378</v>
      </c>
      <c r="B53" s="77"/>
      <c r="C53" s="77"/>
      <c r="D53" s="77"/>
      <c r="E53" s="532">
        <f>1080.515*1000*365*'Energy data by fuel cycle'!$E$132</f>
        <v>2441792798.4089341</v>
      </c>
      <c r="F53" s="77"/>
      <c r="G53" s="77"/>
      <c r="H53" s="77" t="s">
        <v>377</v>
      </c>
      <c r="I53" s="77"/>
      <c r="J53" s="77"/>
      <c r="K53" s="77"/>
      <c r="L53" s="77"/>
      <c r="M53" s="77"/>
      <c r="N53" s="77"/>
      <c r="O53" s="77"/>
      <c r="P53" s="77"/>
      <c r="Q53" s="77"/>
      <c r="R53" s="77"/>
      <c r="S53" s="77"/>
      <c r="T53" s="77"/>
      <c r="U53" s="77"/>
      <c r="V53" s="77"/>
      <c r="W53" s="77"/>
      <c r="X53" s="77"/>
      <c r="Y53" s="77"/>
      <c r="Z53" s="77"/>
      <c r="AA53" s="77"/>
      <c r="AB53" s="77"/>
      <c r="AC53" s="77"/>
      <c r="AD53" s="77"/>
      <c r="AE53" s="77"/>
      <c r="AF53" s="77"/>
    </row>
    <row r="54" spans="1:32">
      <c r="A54" s="531" t="s">
        <v>42</v>
      </c>
      <c r="B54" s="77"/>
      <c r="C54" s="77"/>
      <c r="D54" s="77"/>
      <c r="E54" s="532">
        <f>E53-E55</f>
        <v>1797803373.8684373</v>
      </c>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row>
    <row r="55" spans="1:32">
      <c r="A55" s="531" t="s">
        <v>41</v>
      </c>
      <c r="B55" s="77"/>
      <c r="C55" s="77"/>
      <c r="D55" s="77"/>
      <c r="E55" s="532">
        <f>E53*'Energy data by fuel cycle'!$B$131*unconv_oil_frac/'Energy data by fuel cycle'!$B$132</f>
        <v>643989424.54049683</v>
      </c>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row>
    <row r="56" spans="1:32">
      <c r="A56" s="530" t="s">
        <v>380</v>
      </c>
      <c r="B56" s="77"/>
      <c r="C56" s="77"/>
      <c r="D56" s="532">
        <f>3441.661*10^6*'Energy data by fuel cycle'!$E$132</f>
        <v>21308517442.411602</v>
      </c>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row>
    <row r="57" spans="1:32">
      <c r="A57" s="531" t="s">
        <v>42</v>
      </c>
      <c r="B57" s="77"/>
      <c r="C57" s="77"/>
      <c r="D57" s="532">
        <f>D56-D58</f>
        <v>15688687662.222511</v>
      </c>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row>
    <row r="58" spans="1:32">
      <c r="A58" s="531" t="s">
        <v>41</v>
      </c>
      <c r="B58" s="77"/>
      <c r="C58" s="77"/>
      <c r="D58" s="532">
        <f>D56*'Energy data by fuel cycle'!$B$131*unconv_oil_frac/'Energy data by fuel cycle'!$B$132</f>
        <v>5619829780.1890917</v>
      </c>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row>
    <row r="59" spans="1:32">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row>
    <row r="60" spans="1:32" ht="26">
      <c r="A60" s="77"/>
      <c r="B60" s="549" t="s">
        <v>65</v>
      </c>
      <c r="C60" s="549" t="s">
        <v>66</v>
      </c>
      <c r="D60" s="549" t="s">
        <v>67</v>
      </c>
      <c r="E60" s="549" t="s">
        <v>68</v>
      </c>
      <c r="F60" s="549" t="s">
        <v>69</v>
      </c>
      <c r="G60" s="550" t="s">
        <v>75</v>
      </c>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row>
    <row r="61" spans="1:32">
      <c r="A61" s="545" t="s">
        <v>36</v>
      </c>
      <c r="B61" s="556" t="s">
        <v>40</v>
      </c>
      <c r="C61" s="556" t="s">
        <v>40</v>
      </c>
      <c r="D61" s="556" t="s">
        <v>40</v>
      </c>
      <c r="E61" s="556" t="s">
        <v>40</v>
      </c>
      <c r="F61" s="556" t="s">
        <v>40</v>
      </c>
      <c r="G61" s="557" t="s">
        <v>40</v>
      </c>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row>
    <row r="62" spans="1:32">
      <c r="A62" s="77" t="s">
        <v>35</v>
      </c>
      <c r="B62" s="77"/>
      <c r="C62" s="77"/>
      <c r="D62" s="77"/>
      <c r="E62" s="532">
        <f>8145982*'Energy data by fuel cycle'!$J$147*GJ.per.mmbtu</f>
        <v>9487512249.0546741</v>
      </c>
      <c r="F62" s="532">
        <f>E62*btu.kWh/Constants!A15</f>
        <v>4094016920.9276018</v>
      </c>
      <c r="G62" s="532">
        <f>F62*(1-TD.loss)</f>
        <v>3886973214.1363053</v>
      </c>
      <c r="H62" s="77" t="s">
        <v>296</v>
      </c>
      <c r="I62" s="77"/>
      <c r="J62" s="77"/>
      <c r="K62" s="77"/>
      <c r="L62" s="77"/>
      <c r="M62" s="77"/>
      <c r="N62" s="77"/>
      <c r="O62" s="77"/>
      <c r="P62" s="77"/>
      <c r="Q62" s="77"/>
      <c r="R62" s="77"/>
      <c r="S62" s="77"/>
      <c r="T62" s="77"/>
      <c r="U62" s="77"/>
      <c r="V62" s="77"/>
      <c r="W62" s="77"/>
      <c r="X62" s="77"/>
      <c r="Y62" s="77"/>
      <c r="Z62" s="77"/>
      <c r="AA62" s="77"/>
      <c r="AB62" s="77"/>
      <c r="AC62" s="77"/>
      <c r="AD62" s="77"/>
      <c r="AE62" s="77"/>
      <c r="AF62" s="77"/>
    </row>
    <row r="63" spans="1:32">
      <c r="A63" s="77" t="s">
        <v>88</v>
      </c>
      <c r="B63" s="77"/>
      <c r="C63" s="77"/>
      <c r="D63" s="77"/>
      <c r="E63" s="532"/>
      <c r="F63" s="532">
        <f>7646039*'Energy data by fuel cycle'!$J$147*GJ.per.mmbtu</f>
        <v>8905235571.260746</v>
      </c>
      <c r="G63" s="532">
        <f>F63</f>
        <v>8905235571.260746</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row>
    <row r="64" spans="1:32">
      <c r="A64" s="530" t="s">
        <v>286</v>
      </c>
      <c r="B64" s="77"/>
      <c r="C64" s="77"/>
      <c r="D64" s="77"/>
      <c r="E64" s="532"/>
      <c r="F64" s="532">
        <f>(5087471+3466308+35282)*'Energy data by fuel cycle'!$J$147*GJ.per.mmbtu</f>
        <v>10003560214.763277</v>
      </c>
      <c r="G64" s="532">
        <f>F64</f>
        <v>10003560214.763277</v>
      </c>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row>
    <row r="65" spans="1:32" s="21" customFormat="1">
      <c r="A65" s="546" t="s">
        <v>48</v>
      </c>
      <c r="B65" s="562">
        <f>B79*'Energy data by fuel cycle'!$J$147*GJ.per.mmbtu</f>
        <v>36577411651.993454</v>
      </c>
      <c r="C65" s="562">
        <f>B84*'Energy data by fuel cycle'!$J$147*GJ.per.mmbtu</f>
        <v>23008143886.476768</v>
      </c>
      <c r="D65" s="562">
        <f>B90*'Energy data by fuel cycle'!$J$147*GJ.per.mmbtu</f>
        <v>35056149875.429718</v>
      </c>
      <c r="E65" s="562">
        <f>SUM(E62,E63,E64)</f>
        <v>9487512249.0546741</v>
      </c>
      <c r="F65" s="562">
        <f>SUM(F62,F63,F64)</f>
        <v>23002812706.951622</v>
      </c>
      <c r="G65" s="562">
        <f>SUM(G62,G63,G64)</f>
        <v>22795769000.160328</v>
      </c>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row>
    <row r="66" spans="1:32">
      <c r="A66" s="547" t="s">
        <v>42</v>
      </c>
      <c r="B66" s="532">
        <f>'Energy data by fuel cycle'!B153</f>
        <v>18778668898.799114</v>
      </c>
      <c r="C66" s="532">
        <f>conv_ng_frac*C65</f>
        <v>11812271467.725056</v>
      </c>
      <c r="D66" s="532">
        <f>conv_ng_frac*D65</f>
        <v>17997660349.52599</v>
      </c>
      <c r="E66" s="532">
        <f>conv_ng_frac*E65</f>
        <v>4870843593.1274767</v>
      </c>
      <c r="F66" s="532">
        <f>conv_ng_frac*F65</f>
        <v>11809534465.552916</v>
      </c>
      <c r="G66" s="532">
        <f>conv_ng_frac*G65</f>
        <v>11703239212.777645</v>
      </c>
      <c r="H66" s="77" t="s">
        <v>350</v>
      </c>
      <c r="I66" s="77"/>
      <c r="J66" s="77"/>
      <c r="K66" s="77"/>
      <c r="L66" s="77"/>
      <c r="M66" s="77"/>
      <c r="N66" s="77"/>
      <c r="O66" s="77"/>
      <c r="P66" s="77"/>
      <c r="Q66" s="77"/>
      <c r="R66" s="77"/>
      <c r="S66" s="77"/>
      <c r="T66" s="77"/>
      <c r="U66" s="77"/>
      <c r="V66" s="77"/>
      <c r="W66" s="77"/>
      <c r="X66" s="77"/>
      <c r="Y66" s="77"/>
      <c r="Z66" s="77"/>
      <c r="AA66" s="77"/>
      <c r="AB66" s="77"/>
      <c r="AC66" s="77"/>
      <c r="AD66" s="77"/>
      <c r="AE66" s="77"/>
      <c r="AF66" s="77"/>
    </row>
    <row r="67" spans="1:32">
      <c r="A67" s="547" t="s">
        <v>41</v>
      </c>
      <c r="B67" s="532">
        <f>'Energy data by fuel cycle'!B150</f>
        <v>17798742753.19434</v>
      </c>
      <c r="C67" s="532">
        <f>unconv_ng_frac*C65</f>
        <v>11195872418.751713</v>
      </c>
      <c r="D67" s="532">
        <f>unconv_ng_frac*D65</f>
        <v>17058489525.90373</v>
      </c>
      <c r="E67" s="532">
        <f>unconv_ng_frac*E65</f>
        <v>4616668655.9271975</v>
      </c>
      <c r="F67" s="532">
        <f>unconv_ng_frac*F65</f>
        <v>11193278241.398706</v>
      </c>
      <c r="G67" s="532">
        <f>unconv_ng_frac*G65</f>
        <v>11092529787.382683</v>
      </c>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row>
    <row r="68" spans="1:32">
      <c r="A68" s="548" t="s">
        <v>383</v>
      </c>
      <c r="B68" s="532">
        <f>B80*'Energy data by fuel cycle'!$J$147*GJ.per.mmbtu</f>
        <v>16276414124.135696</v>
      </c>
      <c r="C68" s="532"/>
      <c r="D68" s="532"/>
      <c r="E68" s="532"/>
      <c r="F68" s="532"/>
      <c r="G68" s="532"/>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row>
    <row r="69" spans="1:32">
      <c r="A69" s="548" t="s">
        <v>384</v>
      </c>
      <c r="B69" s="532">
        <f>B81*'Energy data by fuel cycle'!$J$147*GJ.per.mmbtu</f>
        <v>1522328629.0586441</v>
      </c>
      <c r="C69" s="532"/>
      <c r="D69" s="532"/>
      <c r="E69" s="532"/>
      <c r="F69" s="532"/>
      <c r="G69" s="532"/>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row>
    <row r="70" spans="1:32">
      <c r="A70" s="77"/>
      <c r="B70" s="563"/>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row>
    <row r="71" spans="1:32">
      <c r="A71" s="77" t="s">
        <v>226</v>
      </c>
      <c r="B71" s="77" t="s">
        <v>285</v>
      </c>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row>
    <row r="72" spans="1:32">
      <c r="A72" s="77" t="s">
        <v>297</v>
      </c>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row>
    <row r="73" spans="1:32">
      <c r="A73" s="77" t="s">
        <v>298</v>
      </c>
      <c r="B73" s="77">
        <v>700150</v>
      </c>
      <c r="C73" s="77" t="s">
        <v>299</v>
      </c>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row>
    <row r="74" spans="1:32">
      <c r="A74" s="77" t="s">
        <v>300</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row>
    <row r="75" spans="1:32">
      <c r="A75" s="77" t="s">
        <v>301</v>
      </c>
      <c r="B75" s="77">
        <v>425238</v>
      </c>
      <c r="C75" s="77" t="s">
        <v>299</v>
      </c>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row>
    <row r="76" spans="1:32">
      <c r="A76" s="77" t="s">
        <v>302</v>
      </c>
      <c r="B76" s="77">
        <v>1086905</v>
      </c>
      <c r="C76" s="77" t="s">
        <v>299</v>
      </c>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row>
    <row r="77" spans="1:32">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row>
    <row r="78" spans="1:32">
      <c r="A78" s="77" t="s">
        <v>303</v>
      </c>
      <c r="B78" s="77" t="s">
        <v>304</v>
      </c>
      <c r="C78" s="564">
        <v>42860</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row>
    <row r="79" spans="1:32">
      <c r="A79" s="77" t="s">
        <v>254</v>
      </c>
      <c r="B79" s="77">
        <v>31405381</v>
      </c>
      <c r="C79" s="77" t="s">
        <v>299</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row>
    <row r="80" spans="1:32">
      <c r="A80" s="77" t="s">
        <v>381</v>
      </c>
      <c r="B80" s="77">
        <v>13974936</v>
      </c>
      <c r="C80" s="77" t="s">
        <v>299</v>
      </c>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row>
    <row r="81" spans="1:32">
      <c r="A81" s="77" t="s">
        <v>382</v>
      </c>
      <c r="B81" s="77">
        <v>1307072</v>
      </c>
      <c r="C81" s="77" t="s">
        <v>299</v>
      </c>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row>
    <row r="82" spans="1:32">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row>
    <row r="83" spans="1:32">
      <c r="A83" s="77" t="s">
        <v>82</v>
      </c>
      <c r="B83" s="77" t="s">
        <v>305</v>
      </c>
      <c r="C83" s="536">
        <v>42860</v>
      </c>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row>
    <row r="84" spans="1:32">
      <c r="A84" s="77" t="s">
        <v>306</v>
      </c>
      <c r="B84" s="77">
        <v>19754802</v>
      </c>
      <c r="C84" s="77" t="s">
        <v>299</v>
      </c>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row>
    <row r="85" spans="1:32">
      <c r="A85" s="77" t="s">
        <v>309</v>
      </c>
      <c r="B85" s="77" t="s">
        <v>317</v>
      </c>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row>
    <row r="86" spans="1:32">
      <c r="A86" s="77" t="s">
        <v>310</v>
      </c>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row>
    <row r="87" spans="1:32">
      <c r="A87" s="77" t="s">
        <v>311</v>
      </c>
      <c r="B87" s="77">
        <v>25889605</v>
      </c>
      <c r="C87" s="77" t="s">
        <v>299</v>
      </c>
      <c r="D87" s="77" t="s">
        <v>312</v>
      </c>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row>
    <row r="88" spans="1:32">
      <c r="A88" s="77" t="s">
        <v>313</v>
      </c>
      <c r="B88" s="77">
        <v>2695378</v>
      </c>
      <c r="C88" s="77" t="s">
        <v>299</v>
      </c>
      <c r="D88" s="77" t="s">
        <v>314</v>
      </c>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row>
    <row r="89" spans="1:32">
      <c r="A89" s="77" t="s">
        <v>315</v>
      </c>
      <c r="B89" s="77">
        <v>1514242</v>
      </c>
      <c r="C89" s="77" t="s">
        <v>299</v>
      </c>
      <c r="D89" s="77" t="s">
        <v>316</v>
      </c>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row>
    <row r="90" spans="1:32">
      <c r="A90" s="77" t="s">
        <v>254</v>
      </c>
      <c r="B90" s="77">
        <f>SUM(B87:B89)</f>
        <v>30099225</v>
      </c>
      <c r="C90" s="77" t="s">
        <v>299</v>
      </c>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row>
    <row r="91" spans="1:32">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row>
    <row r="92" spans="1:32">
      <c r="A92" s="77" t="s">
        <v>320</v>
      </c>
      <c r="B92" s="532">
        <v>488697.83299999998</v>
      </c>
      <c r="C92" s="77" t="s">
        <v>319</v>
      </c>
      <c r="D92" s="77" t="s">
        <v>318</v>
      </c>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row>
    <row r="93" spans="1:32">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row>
    <row r="94" spans="1:32" ht="26">
      <c r="A94" s="77"/>
      <c r="B94" s="549" t="s">
        <v>65</v>
      </c>
      <c r="C94" s="549" t="s">
        <v>66</v>
      </c>
      <c r="D94" s="549" t="s">
        <v>67</v>
      </c>
      <c r="E94" s="549" t="s">
        <v>68</v>
      </c>
      <c r="F94" s="549" t="s">
        <v>69</v>
      </c>
      <c r="G94" s="550" t="s">
        <v>75</v>
      </c>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row>
    <row r="95" spans="1:32">
      <c r="A95" s="545" t="s">
        <v>4</v>
      </c>
      <c r="B95" s="556" t="s">
        <v>40</v>
      </c>
      <c r="C95" s="556" t="s">
        <v>40</v>
      </c>
      <c r="D95" s="556" t="s">
        <v>40</v>
      </c>
      <c r="E95" s="556" t="s">
        <v>40</v>
      </c>
      <c r="F95" s="556" t="s">
        <v>40</v>
      </c>
      <c r="G95" s="557" t="s">
        <v>40</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row>
    <row r="96" spans="1:32">
      <c r="A96" s="77" t="s">
        <v>322</v>
      </c>
      <c r="B96" s="77"/>
      <c r="C96" s="77"/>
      <c r="D96" s="77"/>
      <c r="E96" s="532">
        <f>(B103*E103)*2000*GJ.per.mmbtu</f>
        <v>17258307206.315491</v>
      </c>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row>
    <row r="97" spans="1:32">
      <c r="A97" s="77" t="s">
        <v>321</v>
      </c>
      <c r="B97" s="77"/>
      <c r="C97" s="77"/>
      <c r="D97" s="77"/>
      <c r="E97" s="77"/>
      <c r="F97" s="77"/>
      <c r="G97" s="532">
        <f>B102*2000*E102*GJ.per.mmbtu</f>
        <v>536221744.39794004</v>
      </c>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row>
    <row r="98" spans="1:32">
      <c r="A98" s="77" t="s">
        <v>346</v>
      </c>
      <c r="B98" s="77"/>
      <c r="C98" s="77"/>
      <c r="D98" s="77"/>
      <c r="E98" s="532">
        <f>B104*E104*2000*GJ.per.mmbtu</f>
        <v>1008579586.7412599</v>
      </c>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row>
    <row r="99" spans="1:32">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row>
    <row r="100" spans="1:32">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row>
    <row r="101" spans="1:32">
      <c r="A101" s="77" t="s">
        <v>323</v>
      </c>
      <c r="B101" s="536">
        <v>42861</v>
      </c>
      <c r="C101" s="77"/>
      <c r="D101" s="77"/>
      <c r="E101" s="77" t="s">
        <v>329</v>
      </c>
      <c r="F101" s="536">
        <v>42861</v>
      </c>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row>
    <row r="102" spans="1:32">
      <c r="A102" s="77" t="s">
        <v>326</v>
      </c>
      <c r="B102" s="51">
        <v>21.297000000000001</v>
      </c>
      <c r="C102" s="77" t="s">
        <v>325</v>
      </c>
      <c r="D102" s="77" t="s">
        <v>324</v>
      </c>
      <c r="E102" s="77">
        <v>11923</v>
      </c>
      <c r="F102" s="77" t="s">
        <v>333</v>
      </c>
      <c r="G102" s="77" t="s">
        <v>330</v>
      </c>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row>
    <row r="103" spans="1:32" ht="14" thickBot="1">
      <c r="A103" s="77" t="s">
        <v>327</v>
      </c>
      <c r="B103" s="51">
        <v>851.60199999999998</v>
      </c>
      <c r="C103" s="77" t="s">
        <v>325</v>
      </c>
      <c r="D103" s="77" t="s">
        <v>324</v>
      </c>
      <c r="E103" s="24">
        <f>I103/(B103*2000)</f>
        <v>9596.6813881367125</v>
      </c>
      <c r="F103" s="25" t="s">
        <v>340</v>
      </c>
      <c r="G103" s="77"/>
      <c r="H103" s="77" t="s">
        <v>337</v>
      </c>
      <c r="I103" s="558">
        <v>16345106127</v>
      </c>
      <c r="J103" s="77" t="s">
        <v>338</v>
      </c>
      <c r="K103" s="77" t="s">
        <v>339</v>
      </c>
      <c r="L103" s="77"/>
      <c r="M103" s="77"/>
      <c r="N103" s="77"/>
      <c r="O103" s="77"/>
      <c r="P103" s="77"/>
      <c r="Q103" s="77"/>
      <c r="R103" s="77"/>
      <c r="S103" s="77"/>
      <c r="T103" s="77"/>
      <c r="U103" s="77"/>
      <c r="V103" s="77"/>
      <c r="W103" s="77"/>
      <c r="X103" s="77"/>
      <c r="Y103" s="77"/>
      <c r="Z103" s="77"/>
      <c r="AA103" s="77"/>
      <c r="AB103" s="77"/>
      <c r="AC103" s="77"/>
      <c r="AD103" s="77"/>
      <c r="AE103" s="77"/>
      <c r="AF103" s="77"/>
    </row>
    <row r="104" spans="1:32" ht="14" thickTop="1">
      <c r="A104" s="77" t="s">
        <v>328</v>
      </c>
      <c r="B104" s="51">
        <v>44.832999999999998</v>
      </c>
      <c r="C104" s="77" t="s">
        <v>325</v>
      </c>
      <c r="D104" s="77" t="s">
        <v>324</v>
      </c>
      <c r="E104" s="77">
        <v>10653</v>
      </c>
      <c r="F104" s="77" t="s">
        <v>332</v>
      </c>
      <c r="G104" s="77" t="s">
        <v>331</v>
      </c>
      <c r="H104" s="77" t="s">
        <v>348</v>
      </c>
      <c r="I104" s="77"/>
      <c r="J104" s="77"/>
      <c r="K104" s="77" t="s">
        <v>341</v>
      </c>
      <c r="L104" s="77"/>
      <c r="M104" s="77"/>
      <c r="N104" s="77"/>
      <c r="O104" s="77"/>
      <c r="P104" s="77"/>
      <c r="Q104" s="77"/>
      <c r="R104" s="77"/>
      <c r="S104" s="77"/>
      <c r="T104" s="77"/>
      <c r="U104" s="77"/>
      <c r="V104" s="77"/>
      <c r="W104" s="77"/>
      <c r="X104" s="77"/>
      <c r="Y104" s="77"/>
      <c r="Z104" s="77"/>
      <c r="AA104" s="77"/>
      <c r="AB104" s="77"/>
      <c r="AC104" s="77"/>
      <c r="AD104" s="77"/>
      <c r="AE104" s="77"/>
      <c r="AF104" s="77"/>
    </row>
    <row r="105" spans="1:32">
      <c r="A105" s="77"/>
      <c r="B105" s="77"/>
      <c r="C105" s="77"/>
      <c r="D105" s="77"/>
      <c r="E105" s="77"/>
      <c r="F105" s="77"/>
      <c r="G105" s="77"/>
      <c r="H105" s="77"/>
      <c r="I105" s="77"/>
      <c r="J105" s="77"/>
      <c r="K105" s="77" t="s">
        <v>347</v>
      </c>
      <c r="L105" s="77"/>
      <c r="M105" s="77"/>
      <c r="N105" s="77"/>
      <c r="O105" s="77"/>
      <c r="P105" s="77"/>
      <c r="Q105" s="77"/>
      <c r="R105" s="77"/>
      <c r="S105" s="77"/>
      <c r="T105" s="77"/>
      <c r="U105" s="77"/>
      <c r="V105" s="77"/>
      <c r="W105" s="77"/>
      <c r="X105" s="77"/>
      <c r="Y105" s="77"/>
      <c r="Z105" s="77"/>
      <c r="AA105" s="77"/>
      <c r="AB105" s="77"/>
      <c r="AC105" s="77"/>
      <c r="AD105" s="77"/>
      <c r="AE105" s="77"/>
      <c r="AF105" s="77"/>
    </row>
    <row r="106" spans="1:32">
      <c r="A106" s="77" t="s">
        <v>343</v>
      </c>
      <c r="B106" s="77"/>
      <c r="C106" s="77"/>
      <c r="D106" s="77"/>
      <c r="E106" s="77"/>
      <c r="F106" s="77"/>
      <c r="G106" s="77"/>
      <c r="H106" s="77"/>
      <c r="I106" s="77"/>
      <c r="J106" s="77"/>
      <c r="K106" s="77" t="s">
        <v>342</v>
      </c>
      <c r="L106" s="77"/>
      <c r="M106" s="77"/>
      <c r="N106" s="77"/>
      <c r="O106" s="77"/>
      <c r="P106" s="77"/>
      <c r="Q106" s="77"/>
      <c r="R106" s="77"/>
      <c r="S106" s="77"/>
      <c r="T106" s="77"/>
      <c r="U106" s="77"/>
      <c r="V106" s="77"/>
      <c r="W106" s="77"/>
      <c r="X106" s="77"/>
      <c r="Y106" s="77"/>
      <c r="Z106" s="77"/>
      <c r="AA106" s="77"/>
      <c r="AB106" s="77"/>
      <c r="AC106" s="77"/>
      <c r="AD106" s="77"/>
      <c r="AE106" s="77"/>
      <c r="AF106" s="77"/>
    </row>
    <row r="107" spans="1:32">
      <c r="A107" s="77">
        <v>1578998442.6370001</v>
      </c>
      <c r="B107" s="77" t="s">
        <v>261</v>
      </c>
      <c r="C107" s="538">
        <f>'Energy data by fuel cycle'!B114*1000-A107</f>
        <v>2711557.3629999161</v>
      </c>
      <c r="D107" s="77" t="s">
        <v>344</v>
      </c>
      <c r="E107" s="523">
        <f>C107/A107</f>
        <v>1.71726411488506E-3</v>
      </c>
      <c r="F107" s="77" t="s">
        <v>345</v>
      </c>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row>
    <row r="108" spans="1:32">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row>
    <row r="109" spans="1:32">
      <c r="A109" s="77" t="s">
        <v>334</v>
      </c>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row>
    <row r="110" spans="1:32">
      <c r="A110" s="77" t="s">
        <v>336</v>
      </c>
      <c r="B110" s="77">
        <v>38.9</v>
      </c>
      <c r="C110" s="77" t="s">
        <v>325</v>
      </c>
      <c r="D110" s="77" t="s">
        <v>335</v>
      </c>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row>
    <row r="112" spans="1:32">
      <c r="A112" s="216" t="s">
        <v>35</v>
      </c>
      <c r="B112" s="77" t="s">
        <v>138</v>
      </c>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row>
    <row r="113" spans="1:30">
      <c r="A113" s="525" t="s">
        <v>34</v>
      </c>
      <c r="B113" s="525" t="s">
        <v>139</v>
      </c>
      <c r="C113" s="525" t="s">
        <v>184</v>
      </c>
      <c r="D113" s="72"/>
      <c r="E113" s="72"/>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row>
    <row r="114" spans="1:30">
      <c r="A114" s="77" t="s">
        <v>4</v>
      </c>
      <c r="B114" s="59">
        <v>1581710</v>
      </c>
      <c r="C114" s="50">
        <f t="shared" ref="C114:C125" si="24">B114*GJ.per.GWh</f>
        <v>5694156000</v>
      </c>
      <c r="D114" s="539"/>
      <c r="E114" s="539"/>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row>
    <row r="115" spans="1:30">
      <c r="A115" s="77" t="s">
        <v>36</v>
      </c>
      <c r="B115" s="59">
        <v>1126609</v>
      </c>
      <c r="C115" s="50">
        <f t="shared" si="24"/>
        <v>4055792400</v>
      </c>
      <c r="D115" s="72" t="s">
        <v>269</v>
      </c>
      <c r="E115" s="540"/>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row>
    <row r="116" spans="1:30">
      <c r="A116" s="77" t="s">
        <v>28</v>
      </c>
      <c r="B116" s="59">
        <v>797166</v>
      </c>
      <c r="C116" s="50">
        <f t="shared" si="24"/>
        <v>2869797600</v>
      </c>
      <c r="D116" s="72"/>
      <c r="E116" s="540"/>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row>
    <row r="117" spans="1:30">
      <c r="A117" s="77" t="s">
        <v>29</v>
      </c>
      <c r="B117" s="59">
        <v>259367</v>
      </c>
      <c r="C117" s="50">
        <f t="shared" si="24"/>
        <v>933721200</v>
      </c>
      <c r="D117" s="72"/>
      <c r="E117" s="540"/>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row>
    <row r="118" spans="1:30">
      <c r="A118" s="77" t="s">
        <v>5</v>
      </c>
      <c r="B118" s="59">
        <v>181655</v>
      </c>
      <c r="C118" s="50">
        <f t="shared" si="24"/>
        <v>653958000</v>
      </c>
      <c r="D118" s="72"/>
      <c r="E118" s="540"/>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row>
    <row r="119" spans="1:30">
      <c r="A119" s="77" t="s">
        <v>288</v>
      </c>
      <c r="B119" s="59">
        <f>42340+3202+7228+(7228/0.51)*0.49</f>
        <v>59714.549019607846</v>
      </c>
      <c r="C119" s="50">
        <f t="shared" si="24"/>
        <v>214972376.47058824</v>
      </c>
      <c r="D119" s="77" t="s">
        <v>49</v>
      </c>
      <c r="E119" s="540" t="s">
        <v>376</v>
      </c>
      <c r="F119" s="77"/>
      <c r="G119" s="77"/>
      <c r="H119" s="532"/>
      <c r="I119" s="77"/>
      <c r="J119" s="77"/>
      <c r="K119" s="77"/>
      <c r="L119" s="77"/>
      <c r="M119" s="77"/>
      <c r="N119" s="77"/>
      <c r="O119" s="77"/>
      <c r="P119" s="77"/>
      <c r="Q119" s="77"/>
      <c r="R119" s="77"/>
      <c r="S119" s="77"/>
      <c r="T119" s="77"/>
      <c r="U119" s="77"/>
      <c r="V119" s="77"/>
      <c r="W119" s="77"/>
      <c r="X119" s="77"/>
      <c r="Y119" s="77"/>
      <c r="Z119" s="77"/>
      <c r="AA119" s="77"/>
      <c r="AB119" s="77"/>
      <c r="AC119" s="77"/>
      <c r="AD119" s="77"/>
    </row>
    <row r="120" spans="1:30">
      <c r="A120" s="77" t="s">
        <v>374</v>
      </c>
      <c r="B120" s="59">
        <f>11220</f>
        <v>11220</v>
      </c>
      <c r="C120" s="50">
        <f t="shared" si="24"/>
        <v>40392000</v>
      </c>
      <c r="D120" s="77" t="s">
        <v>49</v>
      </c>
      <c r="E120" s="540"/>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row>
    <row r="121" spans="1:30">
      <c r="A121" s="77" t="s">
        <v>6</v>
      </c>
      <c r="B121" s="59">
        <v>15877</v>
      </c>
      <c r="C121" s="50">
        <f t="shared" si="24"/>
        <v>57157200</v>
      </c>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row>
    <row r="122" spans="1:30">
      <c r="A122" s="77" t="s">
        <v>38</v>
      </c>
      <c r="B122" s="59">
        <v>26482</v>
      </c>
      <c r="C122" s="50">
        <f t="shared" si="24"/>
        <v>95335200</v>
      </c>
      <c r="D122" s="77" t="s">
        <v>49</v>
      </c>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row>
    <row r="123" spans="1:30">
      <c r="A123" s="77" t="s">
        <v>39</v>
      </c>
      <c r="B123" s="59">
        <v>2441</v>
      </c>
      <c r="C123" s="50">
        <f t="shared" si="24"/>
        <v>8787600</v>
      </c>
      <c r="D123" s="77" t="s">
        <v>49</v>
      </c>
      <c r="E123" s="540"/>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row>
    <row r="124" spans="1:30">
      <c r="A124" s="526" t="s">
        <v>50</v>
      </c>
      <c r="B124" s="60">
        <f>18276+11955+12022+(13461-(7228/0.51)*0.49)</f>
        <v>48769.450980392154</v>
      </c>
      <c r="C124" s="50">
        <f t="shared" si="24"/>
        <v>175570023.52941176</v>
      </c>
      <c r="D124" s="540"/>
      <c r="E124" s="540"/>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row>
    <row r="125" spans="1:30">
      <c r="A125" s="527" t="s">
        <v>140</v>
      </c>
      <c r="B125" s="61">
        <v>-6174</v>
      </c>
      <c r="C125" s="50">
        <f t="shared" si="24"/>
        <v>-22226400</v>
      </c>
      <c r="D125" s="540"/>
      <c r="E125" s="540"/>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pans="1:30" ht="14" thickBot="1">
      <c r="A126" s="528" t="s">
        <v>48</v>
      </c>
      <c r="B126" s="62">
        <f>SUM(B114:B125)</f>
        <v>4104837</v>
      </c>
      <c r="C126" s="50">
        <f>SUM(C114:C125)</f>
        <v>14777413200</v>
      </c>
      <c r="D126" s="540"/>
      <c r="E126" s="540"/>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pans="1:30" ht="15" thickTop="1" thickBot="1">
      <c r="A127" s="63" t="s">
        <v>51</v>
      </c>
      <c r="B127" s="64">
        <f>4093606-B126</f>
        <v>-11231</v>
      </c>
      <c r="C127" s="72" t="s">
        <v>52</v>
      </c>
      <c r="D127" s="540" t="s">
        <v>375</v>
      </c>
      <c r="E127" s="540"/>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pans="1:30" ht="14" thickTop="1">
      <c r="A128" s="77"/>
      <c r="B128" s="542">
        <f>B127/B126</f>
        <v>-2.736040432299748E-3</v>
      </c>
      <c r="C128" s="77" t="s">
        <v>141</v>
      </c>
      <c r="D128" s="72"/>
      <c r="E128" s="540"/>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pans="1:30">
      <c r="A129" s="216" t="s">
        <v>43</v>
      </c>
      <c r="B129" s="77"/>
      <c r="C129" s="77"/>
      <c r="D129" s="72"/>
      <c r="E129" s="541"/>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pans="1:30">
      <c r="A130" s="525" t="s">
        <v>34</v>
      </c>
      <c r="B130" s="525" t="s">
        <v>202</v>
      </c>
      <c r="C130" s="521" t="s">
        <v>256</v>
      </c>
      <c r="D130" s="28" t="s">
        <v>203</v>
      </c>
      <c r="E130" s="28" t="s">
        <v>204</v>
      </c>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pans="1:30">
      <c r="A131" s="77" t="s">
        <v>12</v>
      </c>
      <c r="B131" s="50">
        <f>D131*E131*10^6</f>
        <v>19225824811.184383</v>
      </c>
      <c r="C131" s="50">
        <f>0.901*B131</f>
        <v>17322468154.877129</v>
      </c>
      <c r="D131" s="65">
        <v>3178.306</v>
      </c>
      <c r="E131" s="66">
        <f>5.729*GJ.per.mmbtu</f>
        <v>6.0490792300000003</v>
      </c>
      <c r="F131" s="77" t="s">
        <v>205</v>
      </c>
      <c r="G131" s="77">
        <v>31.77</v>
      </c>
      <c r="H131" s="77" t="s">
        <v>241</v>
      </c>
      <c r="I131" s="77" t="s">
        <v>242</v>
      </c>
      <c r="J131" s="77"/>
      <c r="K131" s="77"/>
      <c r="L131" s="77"/>
      <c r="M131" s="77"/>
      <c r="N131" s="77"/>
      <c r="O131" s="77"/>
      <c r="P131" s="77"/>
      <c r="Q131" s="77"/>
      <c r="R131" s="77"/>
      <c r="S131" s="77"/>
      <c r="T131" s="77"/>
      <c r="U131" s="77"/>
      <c r="V131" s="77"/>
      <c r="W131" s="77"/>
      <c r="X131" s="77"/>
      <c r="Y131" s="77"/>
      <c r="Z131" s="77"/>
      <c r="AA131" s="77"/>
      <c r="AB131" s="77"/>
      <c r="AC131" s="77"/>
      <c r="AD131" s="77"/>
    </row>
    <row r="132" spans="1:30">
      <c r="A132" s="529" t="s">
        <v>264</v>
      </c>
      <c r="B132" s="50">
        <f>D132*10^6*E132</f>
        <v>35159761760.506432</v>
      </c>
      <c r="C132" s="50">
        <f>0.901*B132</f>
        <v>31678945346.216297</v>
      </c>
      <c r="D132" s="65">
        <v>5678.8549999999996</v>
      </c>
      <c r="E132" s="66">
        <f>(6.035*GJ.per.mmbtu*(D132-D131)+E131*D131)/D132</f>
        <v>6.1913469811267294</v>
      </c>
      <c r="F132" s="77" t="s">
        <v>265</v>
      </c>
      <c r="G132" s="77" t="s">
        <v>266</v>
      </c>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pans="1:30" ht="14" thickBot="1">
      <c r="A133" s="77" t="s">
        <v>142</v>
      </c>
      <c r="B133" s="50">
        <f>D133*E133*10^6</f>
        <v>1286920670.3921402</v>
      </c>
      <c r="C133" s="52">
        <f>B133</f>
        <v>1286920670.3921402</v>
      </c>
      <c r="D133" s="65">
        <f>340.781+1.778</f>
        <v>342.55900000000003</v>
      </c>
      <c r="E133" s="66">
        <f>3.558*GJ.per.mmbtu</f>
        <v>3.7567854600000001</v>
      </c>
      <c r="F133" s="77" t="s">
        <v>205</v>
      </c>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pans="1:30" ht="15" thickTop="1" thickBot="1">
      <c r="A134" s="77" t="s">
        <v>143</v>
      </c>
      <c r="B134" s="50">
        <f>D134*E134*10^6</f>
        <v>214470613.02899</v>
      </c>
      <c r="C134" s="52">
        <f>B134</f>
        <v>214470613.02899</v>
      </c>
      <c r="D134" s="65">
        <f>30.452+7.451</f>
        <v>37.902999999999999</v>
      </c>
      <c r="E134" s="66">
        <f>5.359*GJ.per.mmbtu</f>
        <v>5.6584073300000002</v>
      </c>
      <c r="F134" s="77" t="s">
        <v>206</v>
      </c>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pans="1:30" ht="14" thickTop="1">
      <c r="A135" s="77"/>
      <c r="B135" s="77"/>
      <c r="C135" s="77"/>
      <c r="D135" s="77"/>
      <c r="E135" s="77"/>
      <c r="F135" s="77"/>
      <c r="G135" s="77"/>
      <c r="H135" s="77"/>
      <c r="I135" s="77" t="s">
        <v>182</v>
      </c>
      <c r="J135" s="77"/>
      <c r="K135" s="77"/>
      <c r="L135" s="77"/>
      <c r="M135" s="77"/>
      <c r="N135" s="77"/>
      <c r="O135" s="77"/>
      <c r="P135" s="77"/>
      <c r="Q135" s="77"/>
      <c r="R135" s="77"/>
      <c r="S135" s="77"/>
      <c r="T135" s="77"/>
      <c r="U135" s="77"/>
      <c r="V135" s="77"/>
      <c r="W135" s="77"/>
      <c r="X135" s="77"/>
      <c r="Y135" s="77"/>
      <c r="Z135" s="77"/>
      <c r="AA135" s="77"/>
      <c r="AB135" s="77"/>
      <c r="AC135" s="77"/>
      <c r="AD135" s="77"/>
    </row>
    <row r="136" spans="1:30">
      <c r="A136" s="216" t="s">
        <v>158</v>
      </c>
      <c r="B136" s="77"/>
      <c r="C136" s="77"/>
      <c r="D136" s="77"/>
      <c r="E136" s="532"/>
      <c r="F136" s="77"/>
      <c r="G136" s="77"/>
      <c r="H136" s="77"/>
      <c r="I136" s="77" t="s">
        <v>181</v>
      </c>
      <c r="J136" s="77" t="s">
        <v>183</v>
      </c>
      <c r="K136" s="77"/>
      <c r="L136" s="77"/>
      <c r="M136" s="77"/>
      <c r="N136" s="77"/>
      <c r="O136" s="77"/>
      <c r="P136" s="77"/>
      <c r="Q136" s="77"/>
      <c r="R136" s="77"/>
      <c r="S136" s="77"/>
      <c r="T136" s="77"/>
      <c r="U136" s="77"/>
      <c r="V136" s="77"/>
      <c r="W136" s="77"/>
      <c r="X136" s="77"/>
      <c r="Y136" s="77"/>
      <c r="Z136" s="77"/>
      <c r="AA136" s="77"/>
      <c r="AB136" s="77"/>
      <c r="AC136" s="77"/>
      <c r="AD136" s="77"/>
    </row>
    <row r="137" spans="1:30" ht="52">
      <c r="A137" s="525" t="s">
        <v>34</v>
      </c>
      <c r="B137" s="525" t="s">
        <v>40</v>
      </c>
      <c r="C137" s="535" t="s">
        <v>186</v>
      </c>
      <c r="D137" s="535" t="s">
        <v>188</v>
      </c>
      <c r="E137" s="535" t="s">
        <v>189</v>
      </c>
      <c r="F137" s="77"/>
      <c r="G137" s="525" t="s">
        <v>167</v>
      </c>
      <c r="H137" s="535" t="s">
        <v>187</v>
      </c>
      <c r="I137" s="525" t="s">
        <v>144</v>
      </c>
      <c r="J137" s="525" t="s">
        <v>145</v>
      </c>
      <c r="K137" s="525" t="s">
        <v>146</v>
      </c>
      <c r="L137" s="77"/>
      <c r="M137" s="77"/>
      <c r="N137" s="77"/>
      <c r="O137" s="77"/>
      <c r="P137" s="77"/>
      <c r="Q137" s="77"/>
      <c r="R137" s="77"/>
      <c r="S137" s="77"/>
      <c r="T137" s="77"/>
      <c r="U137" s="77"/>
      <c r="V137" s="77"/>
      <c r="W137" s="77"/>
      <c r="X137" s="77"/>
      <c r="Y137" s="77"/>
      <c r="Z137" s="77"/>
      <c r="AA137" s="77"/>
      <c r="AB137" s="77"/>
      <c r="AC137" s="77"/>
      <c r="AD137" s="77"/>
    </row>
    <row r="138" spans="1:30">
      <c r="A138" s="77" t="s">
        <v>4</v>
      </c>
      <c r="B138" s="50">
        <f>SUM(B139:B146)</f>
        <v>19195052883.599998</v>
      </c>
      <c r="C138" s="77"/>
      <c r="D138" s="77"/>
      <c r="F138" s="77"/>
      <c r="G138" s="53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pans="1:30">
      <c r="A139" s="77" t="s">
        <v>292</v>
      </c>
      <c r="B139" s="59">
        <v>8418419974.999999</v>
      </c>
      <c r="C139" s="67">
        <f>B139/($B$138-$B$146)</f>
        <v>0.38689698653518634</v>
      </c>
      <c r="D139" s="50"/>
      <c r="E139" s="50"/>
      <c r="F139" s="77"/>
      <c r="G139" s="77"/>
      <c r="H139" s="538"/>
      <c r="I139" s="538"/>
      <c r="J139" s="543"/>
      <c r="K139" s="77"/>
      <c r="L139" s="77"/>
      <c r="M139" s="77"/>
      <c r="N139" s="77"/>
      <c r="O139" s="77"/>
      <c r="P139" s="77"/>
      <c r="Q139" s="77"/>
      <c r="R139" s="77"/>
      <c r="S139" s="77"/>
      <c r="T139" s="77"/>
      <c r="U139" s="77"/>
      <c r="V139" s="77"/>
      <c r="W139" s="77"/>
      <c r="X139" s="77"/>
      <c r="Y139" s="77"/>
      <c r="Z139" s="77"/>
      <c r="AA139" s="77"/>
      <c r="AB139" s="77"/>
      <c r="AC139" s="77"/>
      <c r="AD139" s="77"/>
    </row>
    <row r="140" spans="1:30">
      <c r="A140" s="77" t="s">
        <v>166</v>
      </c>
      <c r="B140" s="59">
        <v>7508223999.999999</v>
      </c>
      <c r="C140" s="67">
        <f t="shared" ref="C140:C145" si="25">B140/($B$138-$B$146)</f>
        <v>0.34506584946555402</v>
      </c>
      <c r="D140" s="50"/>
      <c r="E140" s="50"/>
      <c r="F140" s="77"/>
      <c r="G140" s="77"/>
      <c r="H140" s="538"/>
      <c r="I140" s="538"/>
      <c r="J140" s="543"/>
      <c r="K140" s="77"/>
      <c r="L140" s="77"/>
      <c r="M140" s="77"/>
      <c r="N140" s="77"/>
      <c r="O140" s="77"/>
      <c r="P140" s="77"/>
      <c r="Q140" s="77"/>
      <c r="R140" s="77"/>
      <c r="S140" s="77"/>
      <c r="T140" s="77"/>
      <c r="U140" s="77"/>
      <c r="V140" s="77"/>
      <c r="W140" s="77"/>
      <c r="X140" s="77"/>
      <c r="Y140" s="77"/>
      <c r="Z140" s="77"/>
      <c r="AA140" s="77"/>
      <c r="AB140" s="77"/>
      <c r="AC140" s="77"/>
      <c r="AD140" s="77"/>
    </row>
    <row r="141" spans="1:30">
      <c r="A141" s="77" t="s">
        <v>293</v>
      </c>
      <c r="B141" s="59">
        <v>3010566567.9999995</v>
      </c>
      <c r="C141" s="67">
        <f t="shared" si="25"/>
        <v>0.1383607774833992</v>
      </c>
      <c r="D141" s="50"/>
      <c r="E141" s="50"/>
      <c r="F141" s="77"/>
      <c r="G141" s="77"/>
      <c r="H141" s="538"/>
      <c r="I141" s="538"/>
      <c r="J141" s="543"/>
      <c r="K141" s="77"/>
      <c r="L141" s="77"/>
      <c r="M141" s="77"/>
      <c r="N141" s="77"/>
      <c r="O141" s="77"/>
      <c r="P141" s="77"/>
      <c r="Q141" s="77"/>
      <c r="R141" s="77"/>
      <c r="S141" s="77"/>
      <c r="T141" s="77"/>
      <c r="U141" s="77"/>
      <c r="V141" s="77"/>
      <c r="W141" s="77"/>
      <c r="X141" s="77"/>
      <c r="Y141" s="77"/>
      <c r="Z141" s="77"/>
      <c r="AA141" s="77"/>
      <c r="AB141" s="77"/>
      <c r="AC141" s="77"/>
      <c r="AD141" s="77"/>
    </row>
    <row r="142" spans="1:30">
      <c r="A142" s="77" t="s">
        <v>294</v>
      </c>
      <c r="B142" s="59">
        <v>738426149.99999988</v>
      </c>
      <c r="C142" s="67">
        <f t="shared" si="25"/>
        <v>3.3936873316156871E-2</v>
      </c>
      <c r="D142" s="50"/>
      <c r="E142" s="50"/>
      <c r="F142" s="77"/>
      <c r="G142" s="77"/>
      <c r="H142" s="538"/>
      <c r="I142" s="538"/>
      <c r="J142" s="543"/>
      <c r="K142" s="77"/>
      <c r="L142" s="77"/>
      <c r="M142" s="77"/>
      <c r="N142" s="77"/>
      <c r="O142" s="77"/>
      <c r="P142" s="77"/>
      <c r="Q142" s="77"/>
      <c r="R142" s="77"/>
      <c r="S142" s="77"/>
      <c r="T142" s="77"/>
      <c r="U142" s="77"/>
      <c r="V142" s="77"/>
      <c r="W142" s="77"/>
      <c r="X142" s="77"/>
      <c r="Y142" s="77"/>
      <c r="Z142" s="77"/>
      <c r="AA142" s="77"/>
      <c r="AB142" s="77"/>
      <c r="AC142" s="77"/>
      <c r="AD142" s="77"/>
    </row>
    <row r="143" spans="1:30">
      <c r="A143" s="77" t="s">
        <v>295</v>
      </c>
      <c r="B143" s="59">
        <v>1715646907.9999998</v>
      </c>
      <c r="C143" s="67">
        <f t="shared" si="25"/>
        <v>7.884836116929532E-2</v>
      </c>
      <c r="D143" s="50"/>
      <c r="E143" s="50"/>
      <c r="F143" s="77"/>
      <c r="G143" s="77"/>
      <c r="H143" s="538"/>
      <c r="I143" s="538"/>
      <c r="J143" s="543"/>
      <c r="K143" s="77"/>
      <c r="L143" s="77"/>
      <c r="M143" s="77"/>
      <c r="N143" s="77"/>
      <c r="O143" s="77"/>
      <c r="P143" s="77"/>
      <c r="Q143" s="77"/>
      <c r="R143" s="77"/>
      <c r="S143" s="77"/>
      <c r="T143" s="77"/>
      <c r="U143" s="77"/>
      <c r="V143" s="77"/>
      <c r="W143" s="77"/>
      <c r="X143" s="77"/>
      <c r="Y143" s="77"/>
      <c r="Z143" s="77"/>
      <c r="AA143" s="77"/>
      <c r="AB143" s="77"/>
      <c r="AC143" s="77"/>
      <c r="AD143" s="77"/>
    </row>
    <row r="144" spans="1:30">
      <c r="A144" s="530" t="s">
        <v>168</v>
      </c>
      <c r="B144" s="59">
        <f>G144*10^6*I144*GJ.per.mmbtu</f>
        <v>133265576.18000001</v>
      </c>
      <c r="C144" s="67">
        <f t="shared" si="25"/>
        <v>6.124670661006945E-3</v>
      </c>
      <c r="D144" s="50">
        <f>H144*10^6*I144*Constants!$A$4</f>
        <v>133265576.18000001</v>
      </c>
      <c r="E144" s="50">
        <f>(D144/SUM($D$139:$D$145))*$C$114</f>
        <v>2064680379.9772468</v>
      </c>
      <c r="F144" s="77"/>
      <c r="G144" s="77">
        <v>11</v>
      </c>
      <c r="H144" s="77">
        <f>G144</f>
        <v>11</v>
      </c>
      <c r="I144" s="77">
        <v>11.474</v>
      </c>
      <c r="J144" s="77"/>
      <c r="K144" s="77"/>
      <c r="L144" s="77"/>
      <c r="M144" s="77"/>
      <c r="N144" s="77"/>
      <c r="O144" s="77"/>
      <c r="P144" s="77"/>
      <c r="Q144" s="77"/>
      <c r="R144" s="77"/>
      <c r="S144" s="77"/>
      <c r="T144" s="77"/>
      <c r="U144" s="77"/>
      <c r="V144" s="77"/>
      <c r="W144" s="77"/>
      <c r="X144" s="77"/>
      <c r="Y144" s="77"/>
      <c r="Z144" s="77"/>
      <c r="AA144" s="77"/>
      <c r="AB144" s="77"/>
      <c r="AC144" s="77"/>
      <c r="AD144" s="77"/>
    </row>
    <row r="145" spans="1:30">
      <c r="A145" s="530" t="s">
        <v>169</v>
      </c>
      <c r="B145" s="59">
        <f>G145*10^6*I145*GJ.per.mmbtu</f>
        <v>234265876.90000001</v>
      </c>
      <c r="C145" s="67">
        <f t="shared" si="25"/>
        <v>1.0766481369401261E-2</v>
      </c>
      <c r="D145" s="50">
        <f>H145*10^6*I145*Constants!$A$4</f>
        <v>234265876.90000001</v>
      </c>
      <c r="E145" s="50">
        <f>(D145/SUM($D$139:$D$145))*$C$114</f>
        <v>3629475620.0227523</v>
      </c>
      <c r="F145" s="77"/>
      <c r="G145" s="77">
        <v>10</v>
      </c>
      <c r="H145" s="77">
        <f>G145</f>
        <v>10</v>
      </c>
      <c r="I145" s="77">
        <v>22.187000000000001</v>
      </c>
      <c r="J145" s="77"/>
      <c r="K145" s="77"/>
      <c r="L145" s="77"/>
      <c r="M145" s="77"/>
      <c r="N145" s="77"/>
      <c r="O145" s="77"/>
      <c r="P145" s="77"/>
      <c r="Q145" s="77"/>
      <c r="R145" s="77"/>
      <c r="S145" s="77"/>
      <c r="T145" s="77"/>
      <c r="U145" s="77"/>
      <c r="V145" s="77"/>
      <c r="W145" s="77"/>
      <c r="X145" s="77"/>
      <c r="Y145" s="77"/>
      <c r="Z145" s="77"/>
      <c r="AA145" s="77"/>
      <c r="AB145" s="77"/>
      <c r="AC145" s="77"/>
      <c r="AD145" s="77"/>
    </row>
    <row r="146" spans="1:30">
      <c r="A146" s="530" t="s">
        <v>170</v>
      </c>
      <c r="B146" s="59">
        <f>G146*10^6*I146*GJ.per.mmbtu</f>
        <v>-2563762170.48</v>
      </c>
      <c r="C146" s="675"/>
      <c r="D146" s="77"/>
      <c r="E146" s="77"/>
      <c r="F146" s="77"/>
      <c r="G146" s="77">
        <v>-97</v>
      </c>
      <c r="H146" s="77"/>
      <c r="I146" s="77">
        <v>25.032</v>
      </c>
      <c r="J146" s="77"/>
      <c r="K146" s="77"/>
      <c r="L146" s="77" t="s">
        <v>185</v>
      </c>
      <c r="M146" s="77"/>
      <c r="N146" s="77"/>
      <c r="O146" s="77"/>
      <c r="P146" s="77"/>
      <c r="Q146" s="77"/>
      <c r="R146" s="77"/>
      <c r="S146" s="77"/>
      <c r="T146" s="77"/>
      <c r="U146" s="77"/>
      <c r="V146" s="77"/>
      <c r="W146" s="77"/>
      <c r="X146" s="77"/>
      <c r="Y146" s="77"/>
      <c r="Z146" s="77"/>
      <c r="AA146" s="77"/>
      <c r="AB146" s="77"/>
      <c r="AC146" s="77"/>
      <c r="AD146" s="77"/>
    </row>
    <row r="147" spans="1:30">
      <c r="A147" s="530" t="s">
        <v>36</v>
      </c>
      <c r="B147" s="50">
        <f>SUM(B150,B153)</f>
        <v>36577411651.993454</v>
      </c>
      <c r="C147" s="77"/>
      <c r="D147" s="77"/>
      <c r="E147" s="532"/>
      <c r="F147" s="77" t="s">
        <v>153</v>
      </c>
      <c r="G147" s="77"/>
      <c r="H147" s="77"/>
      <c r="I147" s="77" t="s">
        <v>144</v>
      </c>
      <c r="J147" s="65">
        <v>1103.0582645653867</v>
      </c>
      <c r="K147" s="77" t="s">
        <v>174</v>
      </c>
      <c r="L147" s="77" t="s">
        <v>201</v>
      </c>
      <c r="M147" s="77" t="s">
        <v>178</v>
      </c>
      <c r="N147" s="77">
        <v>1032</v>
      </c>
      <c r="O147" s="77" t="s">
        <v>180</v>
      </c>
      <c r="P147" s="77"/>
      <c r="Q147" s="77"/>
      <c r="R147" s="77"/>
      <c r="S147" s="77"/>
      <c r="T147" s="77"/>
      <c r="U147" s="77"/>
      <c r="V147" s="77"/>
      <c r="W147" s="77"/>
      <c r="X147" s="77"/>
      <c r="Y147" s="77"/>
      <c r="Z147" s="77"/>
      <c r="AA147" s="77"/>
      <c r="AB147" s="77"/>
      <c r="AC147" s="77"/>
      <c r="AD147" s="77"/>
    </row>
    <row r="148" spans="1:30">
      <c r="A148" s="530" t="s">
        <v>149</v>
      </c>
      <c r="B148" s="59">
        <f>F148*$J$147*GJ.per.mmbtu</f>
        <v>16276414124.135696</v>
      </c>
      <c r="C148" s="77"/>
      <c r="D148" s="77"/>
      <c r="E148" s="77"/>
      <c r="F148" s="77">
        <v>13974936</v>
      </c>
      <c r="G148" s="77" t="s">
        <v>152</v>
      </c>
      <c r="H148" s="536">
        <v>42860</v>
      </c>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pans="1:30">
      <c r="A149" s="530" t="s">
        <v>150</v>
      </c>
      <c r="B149" s="59">
        <f>F149*$J$147*GJ.per.mmbtu</f>
        <v>1522328629.0586441</v>
      </c>
      <c r="C149" s="77"/>
      <c r="D149" s="77"/>
      <c r="E149" s="77"/>
      <c r="F149" s="77">
        <v>1307072</v>
      </c>
      <c r="G149" s="77" t="s">
        <v>151</v>
      </c>
      <c r="H149" s="536">
        <v>42860</v>
      </c>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pans="1:30">
      <c r="A150" s="531" t="s">
        <v>41</v>
      </c>
      <c r="B150" s="50">
        <f>SUM(B148:B149)</f>
        <v>17798742753.19434</v>
      </c>
      <c r="C150" s="67">
        <f>B150/$B$147</f>
        <v>0.48660476368683447</v>
      </c>
      <c r="D150" s="50"/>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pans="1:30">
      <c r="A151" s="530" t="s">
        <v>147</v>
      </c>
      <c r="B151" s="15">
        <f>F151*$J$147*GJ.per.mmbtu</f>
        <v>11790604530.835026</v>
      </c>
      <c r="C151" s="77"/>
      <c r="D151" s="77"/>
      <c r="E151" s="77"/>
      <c r="F151" s="77">
        <v>10123418</v>
      </c>
      <c r="G151" s="77" t="s">
        <v>155</v>
      </c>
      <c r="H151" s="536">
        <v>42860</v>
      </c>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pans="1:30">
      <c r="A152" s="530" t="s">
        <v>148</v>
      </c>
      <c r="B152" s="59">
        <f>F152*$J$147*GJ.per.mmbtu</f>
        <v>6988064367.9640884</v>
      </c>
      <c r="C152" s="77"/>
      <c r="D152" s="77"/>
      <c r="E152" s="77"/>
      <c r="F152" s="77">
        <v>5999955</v>
      </c>
      <c r="G152" s="77" t="s">
        <v>154</v>
      </c>
      <c r="H152" s="536">
        <v>42860</v>
      </c>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pans="1:30">
      <c r="A153" s="531" t="s">
        <v>42</v>
      </c>
      <c r="B153" s="50">
        <f>SUM(B151:B152)</f>
        <v>18778668898.799114</v>
      </c>
      <c r="C153" s="67">
        <f>B153/$B$147</f>
        <v>0.51339523631316553</v>
      </c>
      <c r="D153" s="50"/>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pans="1:30">
      <c r="A154" s="530" t="s">
        <v>12</v>
      </c>
      <c r="B154" s="50">
        <f>SUM(B155:B156)</f>
        <v>19226514406.216599</v>
      </c>
      <c r="C154" s="285"/>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pans="1:30">
      <c r="A155" s="531" t="s">
        <v>41</v>
      </c>
      <c r="B155" s="59">
        <f>4.2*10^6*365*$E$131</f>
        <v>9273238459.5900002</v>
      </c>
      <c r="C155" s="67">
        <f>B155/$B$154</f>
        <v>0.48231511254019299</v>
      </c>
      <c r="D155" s="50"/>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pans="1:30">
      <c r="A156" s="531" t="s">
        <v>42</v>
      </c>
      <c r="B156" s="59">
        <f>(8.708-4.2)*10^6*365*$E$131</f>
        <v>9953275946.6266003</v>
      </c>
      <c r="C156" s="67">
        <f>B156/$B$154</f>
        <v>0.51768488745980712</v>
      </c>
      <c r="D156" s="50"/>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pans="1:30">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pans="1:30">
      <c r="A158" s="216" t="s">
        <v>159</v>
      </c>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pans="1:30">
      <c r="A159" s="521" t="s">
        <v>34</v>
      </c>
      <c r="B159" s="525" t="s">
        <v>40</v>
      </c>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pans="1:30">
      <c r="A160" s="77" t="s">
        <v>36</v>
      </c>
      <c r="B160" s="77"/>
      <c r="C160" s="77"/>
      <c r="D160" s="77"/>
      <c r="E160" s="77"/>
      <c r="F160" s="77" t="s">
        <v>157</v>
      </c>
      <c r="G160" s="77"/>
      <c r="H160" s="77"/>
      <c r="I160" s="77" t="s">
        <v>161</v>
      </c>
      <c r="J160" s="77" t="s">
        <v>162</v>
      </c>
      <c r="K160" s="77"/>
      <c r="L160" s="77"/>
      <c r="M160" s="77"/>
      <c r="N160" s="77"/>
      <c r="O160" s="77"/>
      <c r="P160" s="77"/>
      <c r="Q160" s="77"/>
      <c r="R160" s="77"/>
      <c r="S160" s="77"/>
      <c r="T160" s="77"/>
      <c r="U160" s="77"/>
      <c r="V160" s="77"/>
      <c r="W160" s="77"/>
      <c r="X160" s="77"/>
      <c r="Y160" s="77"/>
      <c r="Z160" s="77"/>
      <c r="AA160" s="77"/>
      <c r="AB160" s="77"/>
      <c r="AC160" s="77"/>
      <c r="AD160" s="77"/>
    </row>
    <row r="161" spans="1:30" ht="14" thickBot="1">
      <c r="A161" s="531" t="s">
        <v>156</v>
      </c>
      <c r="B161" s="59">
        <f>F161*J161*GJ.per.mmbtu</f>
        <v>3833088039.6315136</v>
      </c>
      <c r="C161" s="77"/>
      <c r="D161" s="77"/>
      <c r="E161" s="77"/>
      <c r="F161" s="77">
        <v>3291091</v>
      </c>
      <c r="G161" s="77" t="s">
        <v>307</v>
      </c>
      <c r="H161" s="536">
        <v>42860</v>
      </c>
      <c r="I161" s="77" t="s">
        <v>200</v>
      </c>
      <c r="J161" s="23">
        <f>J147</f>
        <v>1103.0582645653867</v>
      </c>
      <c r="K161" s="77"/>
      <c r="L161" s="77"/>
      <c r="M161" s="77"/>
      <c r="N161" s="77"/>
      <c r="O161" s="77"/>
      <c r="P161" s="77"/>
      <c r="Q161" s="77"/>
      <c r="R161" s="77"/>
      <c r="S161" s="77"/>
      <c r="T161" s="77"/>
      <c r="U161" s="77"/>
      <c r="V161" s="77"/>
      <c r="W161" s="77"/>
      <c r="X161" s="77"/>
      <c r="Y161" s="77"/>
      <c r="Z161" s="77"/>
      <c r="AA161" s="77"/>
      <c r="AB161" s="77"/>
      <c r="AC161" s="77"/>
      <c r="AD161" s="77"/>
    </row>
    <row r="162" spans="1:30" ht="15" thickTop="1" thickBot="1">
      <c r="A162" s="531" t="s">
        <v>160</v>
      </c>
      <c r="B162" s="59">
        <f>F162*J162*GJ.per.mmbtu</f>
        <v>342319888.52825278</v>
      </c>
      <c r="C162" s="77"/>
      <c r="D162" s="77"/>
      <c r="E162" s="77"/>
      <c r="F162" s="77">
        <v>293916</v>
      </c>
      <c r="G162" s="77" t="s">
        <v>307</v>
      </c>
      <c r="H162" s="536">
        <v>42860</v>
      </c>
      <c r="I162" s="77" t="s">
        <v>200</v>
      </c>
      <c r="J162" s="23">
        <f>J147</f>
        <v>1103.0582645653867</v>
      </c>
      <c r="K162" s="77"/>
      <c r="L162" s="77"/>
      <c r="M162" s="77"/>
      <c r="N162" s="77"/>
      <c r="O162" s="77"/>
      <c r="P162" s="77"/>
      <c r="Q162" s="77"/>
      <c r="R162" s="77"/>
      <c r="S162" s="77"/>
      <c r="T162" s="77"/>
      <c r="U162" s="77"/>
      <c r="V162" s="77"/>
      <c r="W162" s="77"/>
      <c r="X162" s="77"/>
      <c r="Y162" s="77"/>
      <c r="Z162" s="77"/>
      <c r="AA162" s="77"/>
      <c r="AB162" s="77"/>
      <c r="AC162" s="77"/>
      <c r="AD162" s="77"/>
    </row>
    <row r="163" spans="1:30" ht="14" thickTop="1">
      <c r="A163" s="531" t="s">
        <v>164</v>
      </c>
      <c r="B163" s="51">
        <v>0</v>
      </c>
      <c r="C163" s="77"/>
      <c r="D163" s="77"/>
      <c r="E163" s="77"/>
      <c r="F163" s="77">
        <v>322620</v>
      </c>
      <c r="G163" s="77" t="s">
        <v>307</v>
      </c>
      <c r="H163" s="536">
        <v>42860</v>
      </c>
      <c r="I163" s="77" t="s">
        <v>165</v>
      </c>
      <c r="J163" s="77" t="s">
        <v>161</v>
      </c>
      <c r="K163" s="77"/>
      <c r="L163" s="77"/>
      <c r="M163" s="77"/>
      <c r="N163" s="77"/>
      <c r="O163" s="77"/>
      <c r="P163" s="77"/>
      <c r="Q163" s="77"/>
      <c r="R163" s="77"/>
      <c r="S163" s="77"/>
      <c r="T163" s="77"/>
      <c r="U163" s="77"/>
      <c r="V163" s="77"/>
      <c r="W163" s="77"/>
      <c r="X163" s="77"/>
      <c r="Y163" s="77"/>
      <c r="Z163" s="77"/>
      <c r="AA163" s="77"/>
      <c r="AB163" s="77"/>
      <c r="AC163" s="77"/>
      <c r="AD163" s="77"/>
    </row>
    <row r="164" spans="1:30">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pans="1:30">
      <c r="A165" s="216" t="s">
        <v>163</v>
      </c>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pans="1:30">
      <c r="A166" s="521" t="s">
        <v>34</v>
      </c>
      <c r="B166" s="525" t="s">
        <v>40</v>
      </c>
      <c r="C166" s="77"/>
      <c r="D166" s="77"/>
      <c r="E166" s="77"/>
      <c r="F166" s="77" t="s">
        <v>157</v>
      </c>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pans="1:30">
      <c r="A167" s="77" t="s">
        <v>36</v>
      </c>
      <c r="B167" s="59">
        <f>F167*$I$167*GJ.per.mmbtu</f>
        <v>32402003723.833683</v>
      </c>
      <c r="C167" s="532"/>
      <c r="D167" s="77"/>
      <c r="E167" s="77"/>
      <c r="F167" s="77">
        <v>27497754</v>
      </c>
      <c r="G167" s="77" t="s">
        <v>308</v>
      </c>
      <c r="H167" s="536">
        <v>42860</v>
      </c>
      <c r="I167" s="77">
        <v>1116</v>
      </c>
      <c r="J167" s="77" t="s">
        <v>174</v>
      </c>
      <c r="K167" s="77" t="s">
        <v>179</v>
      </c>
      <c r="L167" s="77"/>
      <c r="M167" s="77"/>
      <c r="N167" s="77"/>
      <c r="O167" s="77"/>
      <c r="P167" s="77"/>
      <c r="Q167" s="77"/>
      <c r="R167" s="77"/>
      <c r="S167" s="77"/>
      <c r="T167" s="77"/>
      <c r="U167" s="77"/>
      <c r="V167" s="77"/>
      <c r="W167" s="77"/>
      <c r="X167" s="77"/>
      <c r="Y167" s="77"/>
      <c r="Z167" s="77"/>
      <c r="AA167" s="77"/>
      <c r="AB167" s="77"/>
      <c r="AC167" s="77"/>
      <c r="AD167" s="77"/>
    </row>
    <row r="168" spans="1:30" ht="14" thickBot="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row>
    <row r="169" spans="1:30" ht="15" thickTop="1" thickBot="1">
      <c r="A169" s="77" t="s">
        <v>190</v>
      </c>
      <c r="B169" s="64">
        <f>(B147-B161-B162-B163)-B167</f>
        <v>0</v>
      </c>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row>
    <row r="170" spans="1:30" ht="14" thickTop="1">
      <c r="A170" s="77" t="s">
        <v>191</v>
      </c>
      <c r="B170" s="533">
        <f>B169/B167</f>
        <v>0</v>
      </c>
      <c r="C170" s="77"/>
      <c r="D170" s="77"/>
      <c r="E170" s="77"/>
      <c r="F170" s="77">
        <f>SUM(F148:F152)-SUM(F161:F163)-F167</f>
        <v>0</v>
      </c>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row>
    <row r="171" spans="1:30">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row>
    <row r="172" spans="1:30">
      <c r="A172" s="77"/>
      <c r="B172" s="77" t="s">
        <v>192</v>
      </c>
      <c r="C172" s="77"/>
      <c r="D172" s="77" t="s">
        <v>174</v>
      </c>
      <c r="E172" s="77"/>
      <c r="F172" s="77" t="s">
        <v>194</v>
      </c>
      <c r="G172" s="77" t="s">
        <v>197</v>
      </c>
      <c r="H172" s="77" t="s">
        <v>179</v>
      </c>
      <c r="I172" s="77"/>
      <c r="J172" s="77"/>
      <c r="K172" s="77"/>
      <c r="L172" s="77"/>
      <c r="M172" s="77"/>
      <c r="N172" s="77"/>
      <c r="O172" s="77"/>
      <c r="P172" s="77"/>
      <c r="Q172" s="77"/>
      <c r="R172" s="77"/>
      <c r="S172" s="77"/>
      <c r="T172" s="77"/>
      <c r="U172" s="77"/>
      <c r="V172" s="77"/>
      <c r="W172" s="77"/>
      <c r="X172" s="77"/>
      <c r="Y172" s="77"/>
      <c r="Z172" s="77"/>
      <c r="AA172" s="77"/>
      <c r="AB172" s="77"/>
      <c r="AC172" s="77"/>
      <c r="AD172" s="77"/>
    </row>
    <row r="173" spans="1:30">
      <c r="A173" s="77"/>
      <c r="B173" s="77" t="s">
        <v>193</v>
      </c>
      <c r="C173" s="77"/>
      <c r="D173" s="77" t="s">
        <v>174</v>
      </c>
      <c r="E173" s="77"/>
      <c r="F173" s="77" t="s">
        <v>194</v>
      </c>
      <c r="G173" s="77" t="s">
        <v>198</v>
      </c>
      <c r="H173" s="77" t="s">
        <v>179</v>
      </c>
      <c r="I173" s="77"/>
      <c r="J173" s="77"/>
      <c r="K173" s="77"/>
      <c r="L173" s="77"/>
      <c r="M173" s="77"/>
      <c r="N173" s="77"/>
      <c r="O173" s="77"/>
      <c r="P173" s="77"/>
      <c r="Q173" s="77"/>
      <c r="R173" s="77"/>
      <c r="S173" s="77"/>
      <c r="T173" s="77"/>
      <c r="U173" s="77"/>
      <c r="V173" s="77"/>
      <c r="W173" s="77"/>
      <c r="X173" s="77"/>
      <c r="Y173" s="77"/>
      <c r="Z173" s="77"/>
      <c r="AA173" s="77"/>
      <c r="AB173" s="77"/>
      <c r="AC173" s="77"/>
      <c r="AD173" s="77"/>
    </row>
    <row r="174" spans="1:30" ht="14" thickBot="1">
      <c r="A174" s="77"/>
      <c r="B174" s="77" t="s">
        <v>195</v>
      </c>
      <c r="C174" s="68">
        <f>J147</f>
        <v>1103.0582645653867</v>
      </c>
      <c r="D174" s="77" t="s">
        <v>174</v>
      </c>
      <c r="E174" s="77">
        <f>SUM(F148:F152)</f>
        <v>31405381</v>
      </c>
      <c r="F174" s="77" t="s">
        <v>194</v>
      </c>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row>
    <row r="175" spans="1:30" ht="14" thickTop="1">
      <c r="A175" s="77"/>
      <c r="B175" s="534" t="s">
        <v>199</v>
      </c>
      <c r="C175" s="69">
        <f>C174*E174/E175</f>
        <v>1114.5073329835393</v>
      </c>
      <c r="D175" s="534"/>
      <c r="E175" s="534">
        <f>SUM(F148:F152)-F163</f>
        <v>31082761</v>
      </c>
      <c r="F175" s="534"/>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row>
    <row r="176" spans="1:30">
      <c r="A176" s="77"/>
      <c r="B176" s="77" t="s">
        <v>196</v>
      </c>
      <c r="C176" s="22">
        <v>1116</v>
      </c>
      <c r="D176" s="77" t="s">
        <v>174</v>
      </c>
      <c r="E176" s="77">
        <f>F167</f>
        <v>27497754</v>
      </c>
      <c r="F176" s="77" t="s">
        <v>194</v>
      </c>
      <c r="G176" s="77"/>
      <c r="H176" s="77" t="s">
        <v>179</v>
      </c>
      <c r="I176" s="77"/>
      <c r="J176" s="77"/>
      <c r="K176" s="77"/>
      <c r="L176" s="77"/>
      <c r="M176" s="77"/>
      <c r="N176" s="77"/>
      <c r="O176" s="77"/>
      <c r="P176" s="77"/>
      <c r="Q176" s="77"/>
      <c r="R176" s="77"/>
      <c r="S176" s="77"/>
      <c r="T176" s="77"/>
      <c r="U176" s="77"/>
      <c r="V176" s="77"/>
      <c r="W176" s="77"/>
      <c r="X176" s="77"/>
      <c r="Y176" s="77"/>
      <c r="Z176" s="77"/>
      <c r="AA176" s="77"/>
      <c r="AB176" s="77"/>
      <c r="AC176" s="77"/>
      <c r="AD176" s="77"/>
    </row>
    <row r="177" spans="1:30">
      <c r="A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row>
    <row r="178" spans="1:30">
      <c r="A178" s="216" t="s">
        <v>257</v>
      </c>
      <c r="B178" s="70" t="s">
        <v>261</v>
      </c>
      <c r="C178" s="70" t="s">
        <v>260</v>
      </c>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row>
    <row r="179" spans="1:30" ht="14" thickBot="1">
      <c r="A179" s="77" t="s">
        <v>258</v>
      </c>
      <c r="B179" s="23">
        <v>767444620.04799926</v>
      </c>
      <c r="C179" s="36">
        <f>B179/SUM($B$179:$B$181)</f>
        <v>0.48930746048682011</v>
      </c>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row>
    <row r="180" spans="1:30" ht="15" thickTop="1" thickBot="1">
      <c r="A180" s="77" t="s">
        <v>259</v>
      </c>
      <c r="B180" s="23">
        <v>715679239.02800024</v>
      </c>
      <c r="C180" s="36">
        <f>B180/SUM($B$179:$B$181)</f>
        <v>0.4563028807864058</v>
      </c>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row>
    <row r="181" spans="1:30" ht="15" thickTop="1" thickBot="1">
      <c r="A181" s="77" t="s">
        <v>20</v>
      </c>
      <c r="B181" s="23">
        <v>85306385.752999991</v>
      </c>
      <c r="C181" s="36">
        <f>B181/SUM($B$179:$B$181)</f>
        <v>5.4389658726774072E-2</v>
      </c>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row>
    <row r="182" spans="1:30" ht="14" thickTop="1">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row>
    <row r="183" spans="1:30">
      <c r="A183" s="77" t="s">
        <v>48</v>
      </c>
      <c r="B183" s="532">
        <f>SUM(B179:B181)</f>
        <v>1568430244.8289995</v>
      </c>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row>
    <row r="184" spans="1:30">
      <c r="A184" s="77" t="s">
        <v>262</v>
      </c>
      <c r="B184" s="532">
        <f>B183*3.6</f>
        <v>5646348881.3843985</v>
      </c>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row>
    <row r="185" spans="1:30">
      <c r="A185" s="77" t="s">
        <v>263</v>
      </c>
      <c r="B185" s="523">
        <f>B184/C114</f>
        <v>0.99160417828110059</v>
      </c>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row>
    <row r="186" spans="1:30">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row>
    <row r="187" spans="1:30" ht="53" thickBot="1">
      <c r="A187" s="77"/>
      <c r="B187" s="554" t="s">
        <v>352</v>
      </c>
      <c r="C187" s="554" t="s">
        <v>353</v>
      </c>
      <c r="D187" s="555" t="s">
        <v>359</v>
      </c>
      <c r="E187" s="555" t="s">
        <v>362</v>
      </c>
      <c r="F187" s="555" t="s">
        <v>360</v>
      </c>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row>
    <row r="188" spans="1:30" ht="15" thickTop="1" thickBot="1">
      <c r="A188" s="77" t="s">
        <v>40</v>
      </c>
      <c r="B188" s="553">
        <f>SUM(E5,E6,E7,E9,E10,E11,E62,F63,F64,E14,E15*9510/3412,E16*9510/3412,B17,-E17,E17*9510/3412,B18,-E18,E18*9510/3412,E19*9510/3412,E20*9510/3412,E21*9510/3412)</f>
        <v>103137792735.66238</v>
      </c>
      <c r="C188" s="553">
        <f>C189/0.0000000009478</f>
        <v>103744460856.72083</v>
      </c>
      <c r="D188" s="77"/>
      <c r="E188" s="426">
        <f>B188/C188</f>
        <v>0.99415228421788904</v>
      </c>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row>
    <row r="189" spans="1:30" ht="14" thickTop="1">
      <c r="A189" s="77" t="s">
        <v>354</v>
      </c>
      <c r="B189" s="538">
        <f>B188*0.0000000009478</f>
        <v>97.753999954860802</v>
      </c>
      <c r="C189" s="538">
        <v>98.328999999999994</v>
      </c>
      <c r="D189" s="77"/>
      <c r="E189" s="285"/>
      <c r="F189" s="77" t="s">
        <v>355</v>
      </c>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row>
    <row r="190" spans="1:30">
      <c r="A190" s="77" t="s">
        <v>356</v>
      </c>
      <c r="B190" s="553">
        <f>SUM(E5,E6,E9,E10,E11,E62,F63,F64)</f>
        <v>85006883146.749893</v>
      </c>
      <c r="C190" s="553">
        <f>80.24/0.0000000009478</f>
        <v>84659210803.967072</v>
      </c>
      <c r="D190" s="285">
        <f>(C190-B190)/($C$188-$B$188)</f>
        <v>-0.57308490542777324</v>
      </c>
      <c r="E190" s="560">
        <f>B190/C190</f>
        <v>1.0041067278974272</v>
      </c>
      <c r="F190" s="77" t="s">
        <v>355</v>
      </c>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row>
    <row r="191" spans="1:30">
      <c r="A191" s="77" t="s">
        <v>357</v>
      </c>
      <c r="B191" s="553">
        <f>E14</f>
        <v>8796955773.2708092</v>
      </c>
      <c r="C191" s="553">
        <f>8.337559/0.0000000009478</f>
        <v>8796749314.2013092</v>
      </c>
      <c r="D191" s="285">
        <f>(C191-B191)/($C$188-$B$188)</f>
        <v>-3.4031633167037797E-4</v>
      </c>
      <c r="E191" s="285">
        <f>B191/C191</f>
        <v>1.0000234699275978</v>
      </c>
      <c r="F191" s="77" t="s">
        <v>355</v>
      </c>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row>
    <row r="192" spans="1:30">
      <c r="A192" s="77" t="s">
        <v>358</v>
      </c>
      <c r="B192" s="553">
        <f>SUM(F7,E15*9510/3412,E16*9510/3412,E19*9510/3412,E20*9510/3412,E21*9510/3412,B17*9510/3412,B18*9510/3412)</f>
        <v>11504608563.590513</v>
      </c>
      <c r="C192" s="553">
        <f>9.570017/0.0000000009478</f>
        <v>10097084828.022789</v>
      </c>
      <c r="D192" s="285">
        <f>(C192-B192)/($C$188-$B$188)</f>
        <v>-2.3200885075550812</v>
      </c>
      <c r="E192" s="285">
        <f>B192/C192</f>
        <v>1.1393990205629823</v>
      </c>
      <c r="F192" s="77" t="s">
        <v>355</v>
      </c>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row>
    <row r="193" spans="1:30">
      <c r="A193" s="77"/>
      <c r="B193" s="553"/>
      <c r="C193" s="553"/>
      <c r="D193" s="285"/>
      <c r="E193" s="285"/>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row>
    <row r="194" spans="1:30">
      <c r="A194" s="77" t="s">
        <v>361</v>
      </c>
      <c r="B194" s="553">
        <f>SUM(B5,B6,B7,B9,B10,B11,B12,B13,B14,B15*9510/3412,B16*9510/3412,B17*9510/3412,B18*9510/3412,B19*9510/3412,B20*9510/3412,B21*9510/3412)+E53</f>
        <v>93017502582.425583</v>
      </c>
      <c r="C194" s="553">
        <f>87.596766/0.0000000009478</f>
        <v>92421150031.652252</v>
      </c>
      <c r="D194" s="77"/>
      <c r="E194" s="523">
        <f>B194/C194</f>
        <v>1.0064525549678736</v>
      </c>
      <c r="F194" s="77" t="s">
        <v>355</v>
      </c>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row>
    <row r="195" spans="1:30">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row>
    <row r="196" spans="1:30">
      <c r="A196" s="77" t="s">
        <v>358</v>
      </c>
      <c r="B196" s="553">
        <f>SUM(B7,B15*9510/3412,B16*9510/3412,B17*9510/3412,B18*9510/3412,B19*9510/3412,B20*9510/3412,B21*9510/3412)</f>
        <v>12303566951.820961</v>
      </c>
      <c r="C196" s="553">
        <f>9.570017/0.0000000009478</f>
        <v>10097084828.022789</v>
      </c>
      <c r="D196" s="77"/>
      <c r="E196" s="285">
        <f>B196/C196</f>
        <v>1.2185266501549483</v>
      </c>
      <c r="F196" s="77" t="s">
        <v>367</v>
      </c>
      <c r="G196" s="77" t="s">
        <v>366</v>
      </c>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row>
    <row r="197" spans="1:30">
      <c r="A197" s="77" t="s">
        <v>363</v>
      </c>
      <c r="B197" s="553">
        <f>B7</f>
        <v>2085879058.6225901</v>
      </c>
      <c r="C197" s="553">
        <f t="shared" ref="C197:C202" si="26">F197*G197</f>
        <v>2219256172.1882253</v>
      </c>
      <c r="D197" s="77"/>
      <c r="E197" s="285">
        <f t="shared" ref="E197:E202" si="27">B197/C197</f>
        <v>0.93990008218198484</v>
      </c>
      <c r="F197" s="559">
        <v>2.1034109999999999</v>
      </c>
      <c r="G197" s="77">
        <f t="shared" ref="G197:G202" si="28">1/0.0000000009478</f>
        <v>1055074910.3186326</v>
      </c>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row>
    <row r="198" spans="1:30">
      <c r="A198" s="55" t="s">
        <v>364</v>
      </c>
      <c r="B198" s="56">
        <f>SUM(B17,-E17,E17*9510/3412,B18,-E18,E18*9510/3412)</f>
        <v>2373337948.1093397</v>
      </c>
      <c r="C198" s="56">
        <f t="shared" si="26"/>
        <v>2909668706.4781604</v>
      </c>
      <c r="D198" s="55"/>
      <c r="E198" s="57">
        <f t="shared" si="27"/>
        <v>0.81567291246088591</v>
      </c>
      <c r="F198" s="559">
        <f>4.861195-F197</f>
        <v>2.7577840000000005</v>
      </c>
      <c r="G198" s="77">
        <f t="shared" si="28"/>
        <v>1055074910.3186326</v>
      </c>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row>
    <row r="199" spans="1:30">
      <c r="A199" s="77" t="s">
        <v>365</v>
      </c>
      <c r="B199" s="553">
        <f>F15*9510/3412</f>
        <v>2602487869.8710432</v>
      </c>
      <c r="C199" s="553">
        <f t="shared" si="26"/>
        <v>2602423507.0690017</v>
      </c>
      <c r="D199" s="77"/>
      <c r="E199" s="285">
        <f t="shared" si="27"/>
        <v>1.0000247318708375</v>
      </c>
      <c r="F199" s="559">
        <v>2.466577</v>
      </c>
      <c r="G199" s="77">
        <f t="shared" si="28"/>
        <v>1055074910.3186326</v>
      </c>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row>
    <row r="200" spans="1:30">
      <c r="A200" s="55" t="s">
        <v>6</v>
      </c>
      <c r="B200" s="56">
        <f>E19*9510/3412</f>
        <v>159309780.77373976</v>
      </c>
      <c r="C200" s="56">
        <f t="shared" si="26"/>
        <v>226303017.51424348</v>
      </c>
      <c r="D200" s="55"/>
      <c r="E200" s="57">
        <f t="shared" si="27"/>
        <v>0.70396666612592917</v>
      </c>
      <c r="F200" s="559">
        <v>0.21448999999999999</v>
      </c>
      <c r="G200" s="77">
        <f t="shared" si="28"/>
        <v>1055074910.3186326</v>
      </c>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row>
    <row r="201" spans="1:30">
      <c r="A201" s="55" t="s">
        <v>33</v>
      </c>
      <c r="B201" s="56">
        <f>(E20+E21)*9510/3412</f>
        <v>290213314.18522859</v>
      </c>
      <c r="C201" s="56">
        <f t="shared" si="26"/>
        <v>355341844.27094322</v>
      </c>
      <c r="D201" s="55"/>
      <c r="E201" s="57">
        <f t="shared" si="27"/>
        <v>0.81671584381136086</v>
      </c>
      <c r="F201" s="559">
        <v>0.33679300000000001</v>
      </c>
      <c r="G201" s="77">
        <f t="shared" si="28"/>
        <v>1055074910.3186326</v>
      </c>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row>
    <row r="202" spans="1:30">
      <c r="A202" s="77" t="s">
        <v>5</v>
      </c>
      <c r="B202" s="553">
        <f>E16*9510/3412</f>
        <v>1822725844.0797186</v>
      </c>
      <c r="C202" s="553">
        <f t="shared" si="26"/>
        <v>1822686220.7216711</v>
      </c>
      <c r="D202" s="77"/>
      <c r="E202" s="285">
        <f t="shared" si="27"/>
        <v>1.0000217389902863</v>
      </c>
      <c r="F202" s="559">
        <v>1.7275419999999999</v>
      </c>
      <c r="G202" s="77">
        <f t="shared" si="28"/>
        <v>1055074910.3186326</v>
      </c>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row>
    <row r="203" spans="1:30">
      <c r="A203" s="77" t="s">
        <v>368</v>
      </c>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row>
    <row r="204" spans="1:30">
      <c r="A204" s="77" t="s">
        <v>369</v>
      </c>
      <c r="B204" s="77"/>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row>
    <row r="205" spans="1:30">
      <c r="A205" s="77"/>
      <c r="B205" s="77" t="s">
        <v>370</v>
      </c>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row>
    <row r="206" spans="1:30">
      <c r="A206" s="77"/>
      <c r="B206" s="77" t="s">
        <v>371</v>
      </c>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row>
    <row r="207" spans="1:30">
      <c r="A207" s="77"/>
      <c r="B207" s="77" t="s">
        <v>372</v>
      </c>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row>
    <row r="208" spans="1:30">
      <c r="A208" s="77"/>
      <c r="B208" s="524" t="s">
        <v>915</v>
      </c>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row>
  </sheetData>
  <sheetProtection sheet="1" objects="1" scenarios="1" formatCells="0" formatColumns="0" formatRows="0" sort="0" autoFilter="0" pivotTables="0"/>
  <phoneticPr fontId="55" type="noConversion"/>
  <pageMargins left="0.75" right="0.75" top="1" bottom="1" header="0.5" footer="0.5"/>
  <pageSetup paperSize="3" scale="22" orientation="landscape" horizontalDpi="4294967292" verticalDpi="4294967292"/>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pageSetUpPr fitToPage="1"/>
  </sheetPr>
  <dimension ref="A1:CH159"/>
  <sheetViews>
    <sheetView workbookViewId="0">
      <selection activeCell="B2" sqref="B2"/>
    </sheetView>
  </sheetViews>
  <sheetFormatPr baseColWidth="10" defaultColWidth="13.83203125" defaultRowHeight="13"/>
  <cols>
    <col min="1" max="2" width="13.83203125" style="37"/>
    <col min="3" max="3" width="13.83203125" style="37" customWidth="1"/>
    <col min="4" max="12" width="13.83203125" style="37"/>
    <col min="13" max="13" width="13.83203125" style="173"/>
    <col min="14" max="14" width="13.83203125" style="37"/>
    <col min="15" max="15" width="2.83203125" style="37" customWidth="1"/>
    <col min="16" max="16384" width="13.83203125" style="37"/>
  </cols>
  <sheetData>
    <row r="1" spans="1:86" s="9" customFormat="1" ht="14" customHeight="1">
      <c r="A1" s="72" t="s">
        <v>855</v>
      </c>
      <c r="B1" s="72"/>
      <c r="C1" s="72"/>
      <c r="D1" s="72"/>
      <c r="E1" s="72"/>
      <c r="F1" s="186"/>
      <c r="G1" s="186"/>
      <c r="H1" s="186"/>
      <c r="I1" s="72"/>
      <c r="J1" s="72"/>
      <c r="K1" s="72"/>
      <c r="L1" s="72"/>
      <c r="M1" s="190"/>
      <c r="N1" s="72"/>
      <c r="O1" s="72"/>
    </row>
    <row r="2" spans="1:86" s="9" customFormat="1" ht="14" customHeight="1">
      <c r="A2" s="72" t="s">
        <v>854</v>
      </c>
      <c r="B2" s="72"/>
      <c r="C2" s="72"/>
      <c r="D2" s="72"/>
      <c r="E2" s="72"/>
      <c r="F2" s="186"/>
      <c r="G2" s="186"/>
      <c r="H2" s="186"/>
      <c r="I2" s="72"/>
      <c r="J2" s="72"/>
      <c r="K2" s="72"/>
      <c r="L2" s="72"/>
      <c r="M2" s="190"/>
      <c r="N2" s="72"/>
      <c r="O2" s="72"/>
    </row>
    <row r="3" spans="1:86" s="9" customFormat="1" ht="20" customHeight="1">
      <c r="A3" s="72"/>
      <c r="B3" s="206"/>
      <c r="C3" s="206"/>
      <c r="D3" s="837" t="s">
        <v>93</v>
      </c>
      <c r="E3" s="838"/>
      <c r="F3" s="186"/>
      <c r="G3" s="186"/>
      <c r="H3" s="186"/>
      <c r="I3" s="72"/>
      <c r="J3" s="72"/>
      <c r="K3" s="72"/>
      <c r="L3" s="72"/>
      <c r="M3" s="190"/>
      <c r="N3" s="72"/>
      <c r="O3" s="72"/>
      <c r="P3" s="833"/>
      <c r="Q3" s="833"/>
      <c r="R3" s="833"/>
      <c r="S3" s="833"/>
      <c r="T3" s="833"/>
      <c r="U3" s="833"/>
      <c r="V3" s="833"/>
      <c r="W3" s="833"/>
      <c r="X3" s="833"/>
      <c r="Y3" s="833"/>
      <c r="Z3" s="833"/>
      <c r="AA3" s="833"/>
      <c r="AB3" s="833"/>
      <c r="AC3" s="833"/>
      <c r="AD3" s="833"/>
      <c r="AE3" s="833"/>
      <c r="AF3" s="833"/>
      <c r="AG3" s="833"/>
      <c r="AH3" s="833"/>
      <c r="AI3" s="833"/>
      <c r="AJ3" s="833"/>
      <c r="AK3" s="833"/>
      <c r="AL3" s="833"/>
      <c r="AM3" s="833"/>
      <c r="AN3" s="833"/>
      <c r="AO3" s="833"/>
      <c r="AP3" s="833"/>
      <c r="AQ3" s="833"/>
      <c r="AR3" s="833"/>
      <c r="AS3" s="83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row>
    <row r="4" spans="1:86" s="45" customFormat="1" ht="14" customHeight="1">
      <c r="A4" s="835" t="s">
        <v>32</v>
      </c>
      <c r="B4" s="207"/>
      <c r="C4" s="207"/>
      <c r="D4" s="836" t="s">
        <v>68</v>
      </c>
      <c r="E4" s="836"/>
      <c r="F4" s="186"/>
      <c r="G4" s="186"/>
      <c r="H4" s="186"/>
      <c r="I4" s="74"/>
      <c r="J4" s="74"/>
      <c r="K4" s="74"/>
      <c r="L4" s="74"/>
      <c r="M4" s="187"/>
      <c r="N4" s="74"/>
      <c r="O4" s="74"/>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row>
    <row r="5" spans="1:86" s="45" customFormat="1" ht="14" customHeight="1">
      <c r="A5" s="835"/>
      <c r="B5" s="207"/>
      <c r="C5" s="207"/>
      <c r="D5" s="194" t="s">
        <v>208</v>
      </c>
      <c r="E5" s="195" t="s">
        <v>209</v>
      </c>
      <c r="F5" s="186"/>
      <c r="G5" s="186"/>
      <c r="H5" s="186"/>
      <c r="I5" s="74"/>
      <c r="J5" s="74"/>
      <c r="K5" s="74"/>
      <c r="L5" s="74"/>
      <c r="M5" s="187"/>
      <c r="N5" s="74"/>
      <c r="O5" s="74"/>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c r="CG5" s="46"/>
      <c r="CH5" s="46"/>
    </row>
    <row r="6" spans="1:86" s="45" customFormat="1" ht="28" customHeight="1">
      <c r="A6" s="835"/>
      <c r="B6" s="177" t="s">
        <v>761</v>
      </c>
      <c r="C6" s="177" t="s">
        <v>762</v>
      </c>
      <c r="D6" s="196">
        <f t="shared" ref="D6:E6" si="0">SUM(D7:D18)</f>
        <v>204859406847.00916</v>
      </c>
      <c r="E6" s="197">
        <f t="shared" si="0"/>
        <v>5526703619.6288195</v>
      </c>
      <c r="F6" s="189"/>
      <c r="G6" s="189"/>
      <c r="H6" s="189"/>
      <c r="I6" s="187"/>
      <c r="J6" s="187"/>
      <c r="K6" s="187"/>
      <c r="L6" s="187"/>
      <c r="M6" s="187"/>
      <c r="N6" s="187"/>
      <c r="O6" s="74"/>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row>
    <row r="7" spans="1:86" ht="14" customHeight="1">
      <c r="A7" s="835"/>
      <c r="B7" s="129" t="s">
        <v>8</v>
      </c>
      <c r="C7" s="143" t="s">
        <v>0</v>
      </c>
      <c r="D7" s="198">
        <f>SUM(D21,D35,D49,D63,D77,,D91,D105,D119,D133,D147)</f>
        <v>167704394612.79395</v>
      </c>
      <c r="E7" s="199">
        <f>SUM(E21,E35,E49,E63,E77,,E91,E105,E119,E133,E147)</f>
        <v>4092612840.0939369</v>
      </c>
      <c r="F7" s="188"/>
      <c r="G7" s="188"/>
      <c r="H7" s="188"/>
      <c r="I7" s="188"/>
      <c r="J7" s="188"/>
      <c r="K7" s="188"/>
      <c r="L7" s="188"/>
      <c r="M7" s="188"/>
      <c r="N7" s="188"/>
      <c r="O7" s="175"/>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row>
    <row r="8" spans="1:86" ht="14" customHeight="1">
      <c r="A8" s="835"/>
      <c r="B8" s="129" t="s">
        <v>8</v>
      </c>
      <c r="C8" s="134" t="s">
        <v>7</v>
      </c>
      <c r="D8" s="198">
        <f t="shared" ref="D8:E8" si="1">SUM(D22,D36,D50,D64,D78,,D92,D106,D120,D134,D148)</f>
        <v>14013850131.869186</v>
      </c>
      <c r="E8" s="199">
        <f t="shared" si="1"/>
        <v>176377385.17597336</v>
      </c>
      <c r="F8" s="188"/>
      <c r="G8" s="188"/>
      <c r="H8" s="188"/>
      <c r="I8" s="188"/>
      <c r="J8" s="188"/>
      <c r="K8" s="188"/>
      <c r="L8" s="188"/>
      <c r="M8" s="188"/>
      <c r="N8" s="188"/>
      <c r="O8" s="175"/>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row>
    <row r="9" spans="1:86" ht="14" customHeight="1">
      <c r="A9" s="835"/>
      <c r="B9" s="129" t="s">
        <v>8</v>
      </c>
      <c r="C9" s="135" t="s">
        <v>1</v>
      </c>
      <c r="D9" s="198">
        <f t="shared" ref="D9:E9" si="2">SUM(D23,D37,D51,D65,D79,,D93,D107,D121,D135,D149)</f>
        <v>20496920090.575703</v>
      </c>
      <c r="E9" s="199">
        <f t="shared" si="2"/>
        <v>183252404.35417876</v>
      </c>
      <c r="F9" s="188"/>
      <c r="G9" s="188"/>
      <c r="H9" s="188"/>
      <c r="I9" s="188"/>
      <c r="J9" s="188"/>
      <c r="K9" s="188"/>
      <c r="L9" s="188"/>
      <c r="M9" s="188"/>
      <c r="N9" s="188"/>
      <c r="O9" s="175"/>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row>
    <row r="10" spans="1:86" ht="14" customHeight="1">
      <c r="A10" s="835"/>
      <c r="B10" s="129" t="s">
        <v>8</v>
      </c>
      <c r="C10" s="166" t="s">
        <v>13</v>
      </c>
      <c r="D10" s="200">
        <f t="shared" ref="D10:E10" si="3">SUM(D24,D38,D52,D66,D80,,D94,D108,D122,D136,D150)</f>
        <v>0</v>
      </c>
      <c r="E10" s="201">
        <f t="shared" si="3"/>
        <v>0</v>
      </c>
      <c r="F10" s="188"/>
      <c r="G10" s="188"/>
      <c r="H10" s="188"/>
      <c r="I10" s="188"/>
      <c r="J10" s="188"/>
      <c r="K10" s="188"/>
      <c r="L10" s="188"/>
      <c r="M10" s="188"/>
      <c r="N10" s="188"/>
      <c r="O10" s="175"/>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row>
    <row r="11" spans="1:86" ht="14" customHeight="1">
      <c r="A11" s="835"/>
      <c r="B11" s="142" t="s">
        <v>9</v>
      </c>
      <c r="C11" s="143" t="s">
        <v>0</v>
      </c>
      <c r="D11" s="198">
        <f t="shared" ref="D11:E11" si="4">SUM(D25,D39,D53,D67,D81,,D95,D109,D123,D137,D151)</f>
        <v>991439654.88534689</v>
      </c>
      <c r="E11" s="199">
        <f t="shared" si="4"/>
        <v>781945230.38648689</v>
      </c>
      <c r="F11" s="188"/>
      <c r="G11" s="188"/>
      <c r="H11" s="188"/>
      <c r="I11" s="188"/>
      <c r="J11" s="188"/>
      <c r="K11" s="188"/>
      <c r="L11" s="188"/>
      <c r="M11" s="188"/>
      <c r="N11" s="188"/>
      <c r="O11" s="175"/>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row>
    <row r="12" spans="1:86" ht="14" customHeight="1">
      <c r="A12" s="835"/>
      <c r="B12" s="142" t="s">
        <v>9</v>
      </c>
      <c r="C12" s="134" t="s">
        <v>7</v>
      </c>
      <c r="D12" s="198">
        <f t="shared" ref="D12:E12" si="5">SUM(D26,D40,D54,D68,D82,,D96,D110,D124,D138,D152)</f>
        <v>5174769.6405357914</v>
      </c>
      <c r="E12" s="199">
        <f t="shared" si="5"/>
        <v>4634536.3446731735</v>
      </c>
      <c r="F12" s="188"/>
      <c r="G12" s="188"/>
      <c r="H12" s="188"/>
      <c r="I12" s="188"/>
      <c r="J12" s="188"/>
      <c r="K12" s="188"/>
      <c r="L12" s="188"/>
      <c r="M12" s="188"/>
      <c r="N12" s="188"/>
      <c r="O12" s="175"/>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row>
    <row r="13" spans="1:86" ht="14" customHeight="1">
      <c r="A13" s="835"/>
      <c r="B13" s="142" t="s">
        <v>9</v>
      </c>
      <c r="C13" s="135" t="s">
        <v>1</v>
      </c>
      <c r="D13" s="198">
        <f t="shared" ref="D13:E13" si="6">SUM(D27,D41,D55,D69,D83,,D97,D111,D125,D139,D153)</f>
        <v>7033848.9703738531</v>
      </c>
      <c r="E13" s="199">
        <f t="shared" si="6"/>
        <v>6167062.6384475147</v>
      </c>
      <c r="F13" s="188"/>
      <c r="G13" s="188"/>
      <c r="H13" s="188"/>
      <c r="I13" s="188"/>
      <c r="J13" s="188"/>
      <c r="K13" s="188"/>
      <c r="L13" s="188"/>
      <c r="M13" s="188"/>
      <c r="N13" s="188"/>
      <c r="O13" s="175"/>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row>
    <row r="14" spans="1:86" ht="14" customHeight="1">
      <c r="A14" s="835"/>
      <c r="B14" s="142" t="s">
        <v>9</v>
      </c>
      <c r="C14" s="166" t="s">
        <v>13</v>
      </c>
      <c r="D14" s="202">
        <f t="shared" ref="D14:E14" si="7">SUM(D28,D42,D56,D70,D84,,D98,D112,D126,D140,D154)</f>
        <v>0</v>
      </c>
      <c r="E14" s="203">
        <f t="shared" si="7"/>
        <v>0</v>
      </c>
      <c r="F14" s="188"/>
      <c r="G14" s="188"/>
      <c r="H14" s="188"/>
      <c r="I14" s="188"/>
      <c r="J14" s="188"/>
      <c r="K14" s="188"/>
      <c r="L14" s="188"/>
      <c r="M14" s="188"/>
      <c r="N14" s="188"/>
      <c r="O14" s="175"/>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row>
    <row r="15" spans="1:86" ht="14" customHeight="1">
      <c r="A15" s="835"/>
      <c r="B15" s="150" t="s">
        <v>10</v>
      </c>
      <c r="C15" s="143" t="s">
        <v>0</v>
      </c>
      <c r="D15" s="198">
        <f t="shared" ref="D15:E15" si="8">SUM(D29,D43,D57,D71,D85,,D99,D113,D127,D141,D155)</f>
        <v>1250638060.212023</v>
      </c>
      <c r="E15" s="199">
        <f t="shared" si="8"/>
        <v>252988739.80811188</v>
      </c>
      <c r="F15" s="188"/>
      <c r="G15" s="188"/>
      <c r="H15" s="188"/>
      <c r="I15" s="188"/>
      <c r="J15" s="188"/>
      <c r="K15" s="188"/>
      <c r="L15" s="188"/>
      <c r="M15" s="188"/>
      <c r="N15" s="188"/>
      <c r="O15" s="175"/>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row>
    <row r="16" spans="1:86" ht="14" customHeight="1">
      <c r="A16" s="835"/>
      <c r="B16" s="150" t="s">
        <v>10</v>
      </c>
      <c r="C16" s="134" t="s">
        <v>7</v>
      </c>
      <c r="D16" s="198">
        <f t="shared" ref="D16:E16" si="9">SUM(D30,D44,D58,D72,D86,,D100,D114,D128,D142,D156)</f>
        <v>154314084.30743083</v>
      </c>
      <c r="E16" s="199">
        <f t="shared" si="9"/>
        <v>13808099.373722846</v>
      </c>
      <c r="F16" s="188"/>
      <c r="G16" s="188"/>
      <c r="H16" s="188"/>
      <c r="I16" s="188"/>
      <c r="J16" s="188"/>
      <c r="K16" s="188"/>
      <c r="L16" s="188"/>
      <c r="M16" s="188"/>
      <c r="N16" s="188"/>
      <c r="O16" s="175"/>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row>
    <row r="17" spans="1:86" ht="14" customHeight="1">
      <c r="A17" s="835"/>
      <c r="B17" s="150" t="s">
        <v>10</v>
      </c>
      <c r="C17" s="135" t="s">
        <v>1</v>
      </c>
      <c r="D17" s="198">
        <f t="shared" ref="D17:E17" si="10">SUM(D31,D45,D59,D73,D87,,D101,D115,D129,D143,D157)</f>
        <v>235641593.75458255</v>
      </c>
      <c r="E17" s="199">
        <f t="shared" si="10"/>
        <v>14917321.453287311</v>
      </c>
      <c r="F17" s="188"/>
      <c r="G17" s="188"/>
      <c r="H17" s="188"/>
      <c r="I17" s="188"/>
      <c r="J17" s="188"/>
      <c r="K17" s="188"/>
      <c r="L17" s="188"/>
      <c r="M17" s="188"/>
      <c r="N17" s="188"/>
      <c r="O17" s="175"/>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row>
    <row r="18" spans="1:86" ht="14" customHeight="1">
      <c r="A18" s="835"/>
      <c r="B18" s="150" t="s">
        <v>10</v>
      </c>
      <c r="C18" s="166" t="s">
        <v>13</v>
      </c>
      <c r="D18" s="204">
        <f t="shared" ref="D18:E18" si="11">SUM(D32,D46,D60,D74,D88,,D102,D116,D130,D144,D158)</f>
        <v>0</v>
      </c>
      <c r="E18" s="205">
        <f t="shared" si="11"/>
        <v>0</v>
      </c>
      <c r="F18" s="188"/>
      <c r="G18" s="188"/>
      <c r="H18" s="188"/>
      <c r="I18" s="188"/>
      <c r="J18" s="188"/>
      <c r="K18" s="188"/>
      <c r="L18" s="188"/>
      <c r="M18" s="188"/>
      <c r="N18" s="188"/>
      <c r="O18" s="175"/>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row>
    <row r="19" spans="1:86" ht="14" customHeight="1">
      <c r="A19" s="72"/>
      <c r="B19" s="9"/>
      <c r="C19" s="9"/>
      <c r="D19" s="827" t="s">
        <v>12</v>
      </c>
      <c r="E19" s="827"/>
      <c r="F19" s="191"/>
      <c r="G19" s="826" t="s">
        <v>46</v>
      </c>
      <c r="H19" s="826"/>
      <c r="I19" s="188"/>
      <c r="J19" s="826" t="s">
        <v>47</v>
      </c>
      <c r="K19" s="826"/>
      <c r="L19" s="188"/>
      <c r="M19" s="826" t="s">
        <v>851</v>
      </c>
      <c r="N19" s="826"/>
      <c r="O19" s="175"/>
      <c r="U19" s="38"/>
      <c r="V19" s="38"/>
      <c r="W19" s="38"/>
      <c r="X19" s="38"/>
      <c r="Y19" s="38"/>
      <c r="Z19" s="40"/>
      <c r="AA19" s="38"/>
      <c r="AB19" s="38"/>
      <c r="AC19" s="38"/>
      <c r="AD19" s="38"/>
      <c r="AE19" s="38"/>
      <c r="AF19" s="38"/>
      <c r="AG19" s="38"/>
      <c r="AH19" s="38"/>
      <c r="AI19" s="38"/>
      <c r="AJ19" s="40"/>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row>
    <row r="20" spans="1:86" ht="14" customHeight="1">
      <c r="A20" s="835" t="s">
        <v>32</v>
      </c>
      <c r="B20" s="178" t="s">
        <v>761</v>
      </c>
      <c r="C20" s="178" t="s">
        <v>762</v>
      </c>
      <c r="D20" s="192" t="s">
        <v>208</v>
      </c>
      <c r="E20" s="193" t="s">
        <v>209</v>
      </c>
      <c r="F20" s="188"/>
      <c r="G20" s="192" t="s">
        <v>208</v>
      </c>
      <c r="H20" s="193" t="s">
        <v>209</v>
      </c>
      <c r="I20" s="188"/>
      <c r="J20" s="192" t="s">
        <v>208</v>
      </c>
      <c r="K20" s="193" t="s">
        <v>209</v>
      </c>
      <c r="L20" s="188"/>
      <c r="M20" s="192" t="s">
        <v>208</v>
      </c>
      <c r="N20" s="193" t="s">
        <v>209</v>
      </c>
      <c r="O20" s="175"/>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row>
    <row r="21" spans="1:86" ht="14" customHeight="1">
      <c r="A21" s="835"/>
      <c r="B21" s="179" t="s">
        <v>8</v>
      </c>
      <c r="C21" s="180" t="s">
        <v>0</v>
      </c>
      <c r="D21" s="198">
        <f>SUM(G21,J21,M21)</f>
        <v>1862884446.9025638</v>
      </c>
      <c r="E21" s="199">
        <f>SUM(H21,K21,N21)</f>
        <v>342433821.29440886</v>
      </c>
      <c r="F21" s="188"/>
      <c r="G21" s="198">
        <v>1297182810.530503</v>
      </c>
      <c r="H21" s="199">
        <v>23938328.009131379</v>
      </c>
      <c r="I21" s="188"/>
      <c r="J21" s="198">
        <f>'Intermediate o&amp;g entries'!C25</f>
        <v>469971059.26446354</v>
      </c>
      <c r="K21" s="199">
        <f>'Intermediate o&amp;g entries'!D25</f>
        <v>316306364.60608274</v>
      </c>
      <c r="L21" s="188"/>
      <c r="M21" s="198">
        <f>'Allocation of "other" fuels'!C87</f>
        <v>95730577.107597142</v>
      </c>
      <c r="N21" s="199">
        <f>'Allocation of "other" fuels'!D87</f>
        <v>2189128.6791947386</v>
      </c>
      <c r="O21" s="175"/>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row>
    <row r="22" spans="1:86" ht="14" customHeight="1">
      <c r="A22" s="835"/>
      <c r="B22" s="179" t="s">
        <v>8</v>
      </c>
      <c r="C22" s="181" t="s">
        <v>7</v>
      </c>
      <c r="D22" s="198">
        <f t="shared" ref="D22:D32" si="12">SUM(G22,J22,M22)</f>
        <v>133434540.10358256</v>
      </c>
      <c r="E22" s="199">
        <f t="shared" ref="E22:E32" si="13">SUM(H22,K22,N22)</f>
        <v>1365226.8771117963</v>
      </c>
      <c r="F22" s="188"/>
      <c r="G22" s="198">
        <v>133434540.10358256</v>
      </c>
      <c r="H22" s="199">
        <v>1365226.8771117963</v>
      </c>
      <c r="I22" s="188"/>
      <c r="J22" s="198">
        <f>'Intermediate o&amp;g entries'!C26</f>
        <v>0</v>
      </c>
      <c r="K22" s="199">
        <f>'Intermediate o&amp;g entries'!D26</f>
        <v>0</v>
      </c>
      <c r="L22" s="188"/>
      <c r="M22" s="198">
        <f>'Allocation of "other" fuels'!C88</f>
        <v>0</v>
      </c>
      <c r="N22" s="199">
        <f>'Allocation of "other" fuels'!D88</f>
        <v>0</v>
      </c>
      <c r="O22" s="175"/>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row>
    <row r="23" spans="1:86" ht="14" customHeight="1">
      <c r="A23" s="835"/>
      <c r="B23" s="179" t="s">
        <v>8</v>
      </c>
      <c r="C23" s="182" t="s">
        <v>1</v>
      </c>
      <c r="D23" s="198">
        <f t="shared" si="12"/>
        <v>1074860138.4461589</v>
      </c>
      <c r="E23" s="199">
        <f t="shared" si="13"/>
        <v>6092363.1520600608</v>
      </c>
      <c r="F23" s="188"/>
      <c r="G23" s="198">
        <v>1067488147.3418839</v>
      </c>
      <c r="H23" s="199">
        <v>5358084.3487488348</v>
      </c>
      <c r="I23" s="188"/>
      <c r="J23" s="198">
        <f>'Intermediate o&amp;g entries'!C27</f>
        <v>7334130.1383343246</v>
      </c>
      <c r="K23" s="199">
        <f>'Intermediate o&amp;g entries'!D27</f>
        <v>733413.01383343246</v>
      </c>
      <c r="L23" s="188"/>
      <c r="M23" s="198">
        <f>'Allocation of "other" fuels'!C89</f>
        <v>37860.965940744027</v>
      </c>
      <c r="N23" s="199">
        <f>'Allocation of "other" fuels'!D89</f>
        <v>865.78947779392888</v>
      </c>
      <c r="O23" s="175"/>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row>
    <row r="24" spans="1:86" ht="14" customHeight="1">
      <c r="A24" s="835"/>
      <c r="B24" s="179" t="s">
        <v>8</v>
      </c>
      <c r="C24" s="183" t="s">
        <v>13</v>
      </c>
      <c r="D24" s="200">
        <f t="shared" si="12"/>
        <v>0</v>
      </c>
      <c r="E24" s="201">
        <f t="shared" si="13"/>
        <v>0</v>
      </c>
      <c r="F24" s="188"/>
      <c r="G24" s="200">
        <v>0</v>
      </c>
      <c r="H24" s="201">
        <v>0</v>
      </c>
      <c r="I24" s="188"/>
      <c r="J24" s="200">
        <f>'Intermediate o&amp;g entries'!C28</f>
        <v>0</v>
      </c>
      <c r="K24" s="201">
        <f>'Intermediate o&amp;g entries'!D28</f>
        <v>0</v>
      </c>
      <c r="L24" s="188"/>
      <c r="M24" s="200">
        <f>'Allocation of "other" fuels'!C90</f>
        <v>0</v>
      </c>
      <c r="N24" s="201">
        <f>'Allocation of "other" fuels'!D90</f>
        <v>0</v>
      </c>
      <c r="O24" s="175"/>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row>
    <row r="25" spans="1:86" ht="14" customHeight="1">
      <c r="A25" s="835"/>
      <c r="B25" s="184" t="s">
        <v>9</v>
      </c>
      <c r="C25" s="180" t="s">
        <v>0</v>
      </c>
      <c r="D25" s="198">
        <f t="shared" si="12"/>
        <v>196139542.69290408</v>
      </c>
      <c r="E25" s="199">
        <f t="shared" si="13"/>
        <v>125200657.59519902</v>
      </c>
      <c r="F25" s="188"/>
      <c r="G25" s="198">
        <v>2724208.1254876507</v>
      </c>
      <c r="H25" s="199">
        <v>1949114.1378179684</v>
      </c>
      <c r="I25" s="188"/>
      <c r="J25" s="198">
        <f>'Intermediate o&amp;g entries'!C29</f>
        <v>182766523.04729137</v>
      </c>
      <c r="K25" s="199">
        <f>'Intermediate o&amp;g entries'!D29</f>
        <v>123008030.68014328</v>
      </c>
      <c r="L25" s="188"/>
      <c r="M25" s="198">
        <f>'Allocation of "other" fuels'!C91</f>
        <v>10648811.520125074</v>
      </c>
      <c r="N25" s="199">
        <f>'Allocation of "other" fuels'!D91</f>
        <v>243512.77723776642</v>
      </c>
      <c r="O25" s="175"/>
    </row>
    <row r="26" spans="1:86" ht="14" customHeight="1">
      <c r="A26" s="835"/>
      <c r="B26" s="184" t="s">
        <v>9</v>
      </c>
      <c r="C26" s="181" t="s">
        <v>7</v>
      </c>
      <c r="D26" s="198">
        <f t="shared" si="12"/>
        <v>31526.489845751265</v>
      </c>
      <c r="E26" s="199">
        <f t="shared" si="13"/>
        <v>21644.183090257051</v>
      </c>
      <c r="F26" s="188"/>
      <c r="G26" s="198">
        <v>31526.489845751265</v>
      </c>
      <c r="H26" s="199">
        <v>21644.183090257051</v>
      </c>
      <c r="I26" s="188"/>
      <c r="J26" s="198">
        <f>'Intermediate o&amp;g entries'!C30</f>
        <v>0</v>
      </c>
      <c r="K26" s="199">
        <f>'Intermediate o&amp;g entries'!D30</f>
        <v>0</v>
      </c>
      <c r="L26" s="188"/>
      <c r="M26" s="198">
        <f>'Allocation of "other" fuels'!C92</f>
        <v>0</v>
      </c>
      <c r="N26" s="199">
        <f>'Allocation of "other" fuels'!D92</f>
        <v>0</v>
      </c>
      <c r="O26" s="175"/>
    </row>
    <row r="27" spans="1:86" ht="14" customHeight="1">
      <c r="A27" s="835"/>
      <c r="B27" s="184" t="s">
        <v>9</v>
      </c>
      <c r="C27" s="182" t="s">
        <v>1</v>
      </c>
      <c r="D27" s="198">
        <f t="shared" si="12"/>
        <v>249.08121568025783</v>
      </c>
      <c r="E27" s="199">
        <f t="shared" si="13"/>
        <v>221.83898503814586</v>
      </c>
      <c r="F27" s="188"/>
      <c r="G27" s="198">
        <v>249.08121568025783</v>
      </c>
      <c r="H27" s="199">
        <v>221.83898503814586</v>
      </c>
      <c r="I27" s="188"/>
      <c r="J27" s="198">
        <f>'Intermediate o&amp;g entries'!C31</f>
        <v>0</v>
      </c>
      <c r="K27" s="199">
        <f>'Intermediate o&amp;g entries'!D31</f>
        <v>0</v>
      </c>
      <c r="L27" s="188"/>
      <c r="M27" s="198">
        <f>'Allocation of "other" fuels'!C93</f>
        <v>0</v>
      </c>
      <c r="N27" s="199">
        <f>'Allocation of "other" fuels'!D93</f>
        <v>0</v>
      </c>
      <c r="O27" s="175"/>
    </row>
    <row r="28" spans="1:86" ht="14" customHeight="1">
      <c r="A28" s="835"/>
      <c r="B28" s="184" t="s">
        <v>9</v>
      </c>
      <c r="C28" s="183" t="s">
        <v>13</v>
      </c>
      <c r="D28" s="202">
        <f t="shared" si="12"/>
        <v>0</v>
      </c>
      <c r="E28" s="203">
        <f t="shared" si="13"/>
        <v>0</v>
      </c>
      <c r="F28" s="188"/>
      <c r="G28" s="202">
        <v>0</v>
      </c>
      <c r="H28" s="203">
        <v>0</v>
      </c>
      <c r="I28" s="188"/>
      <c r="J28" s="202">
        <f>'Intermediate o&amp;g entries'!C32</f>
        <v>0</v>
      </c>
      <c r="K28" s="203">
        <f>'Intermediate o&amp;g entries'!D32</f>
        <v>0</v>
      </c>
      <c r="L28" s="188"/>
      <c r="M28" s="202">
        <f>'Allocation of "other" fuels'!C94</f>
        <v>0</v>
      </c>
      <c r="N28" s="203">
        <f>'Allocation of "other" fuels'!D94</f>
        <v>0</v>
      </c>
      <c r="O28" s="175"/>
    </row>
    <row r="29" spans="1:86" ht="14" customHeight="1">
      <c r="A29" s="835"/>
      <c r="B29" s="185" t="s">
        <v>10</v>
      </c>
      <c r="C29" s="180" t="s">
        <v>0</v>
      </c>
      <c r="D29" s="198">
        <f t="shared" si="12"/>
        <v>2245385.8657976473</v>
      </c>
      <c r="E29" s="199">
        <f t="shared" si="13"/>
        <v>477296.35066384007</v>
      </c>
      <c r="F29" s="188"/>
      <c r="G29" s="198">
        <v>2245385.8657976473</v>
      </c>
      <c r="H29" s="199">
        <v>477296.35066384007</v>
      </c>
      <c r="I29" s="188"/>
      <c r="J29" s="198">
        <f>'Intermediate o&amp;g entries'!C33</f>
        <v>0</v>
      </c>
      <c r="K29" s="199">
        <f>'Intermediate o&amp;g entries'!D33</f>
        <v>0</v>
      </c>
      <c r="L29" s="188"/>
      <c r="M29" s="198">
        <f>'Allocation of "other" fuels'!C95</f>
        <v>0</v>
      </c>
      <c r="N29" s="199">
        <f>'Allocation of "other" fuels'!D95</f>
        <v>0</v>
      </c>
      <c r="O29" s="175"/>
    </row>
    <row r="30" spans="1:86" ht="14" customHeight="1">
      <c r="A30" s="835"/>
      <c r="B30" s="185" t="s">
        <v>10</v>
      </c>
      <c r="C30" s="181" t="s">
        <v>7</v>
      </c>
      <c r="D30" s="198">
        <f t="shared" si="12"/>
        <v>230546.21680673442</v>
      </c>
      <c r="E30" s="199">
        <f t="shared" si="13"/>
        <v>25592.408642489154</v>
      </c>
      <c r="F30" s="188"/>
      <c r="G30" s="198">
        <v>230546.21680673442</v>
      </c>
      <c r="H30" s="199">
        <v>25592.408642489154</v>
      </c>
      <c r="I30" s="188"/>
      <c r="J30" s="198">
        <f>'Intermediate o&amp;g entries'!C34</f>
        <v>0</v>
      </c>
      <c r="K30" s="199">
        <f>'Intermediate o&amp;g entries'!D34</f>
        <v>0</v>
      </c>
      <c r="L30" s="188"/>
      <c r="M30" s="198">
        <f>'Allocation of "other" fuels'!C96</f>
        <v>0</v>
      </c>
      <c r="N30" s="199">
        <f>'Allocation of "other" fuels'!D96</f>
        <v>0</v>
      </c>
      <c r="O30" s="175"/>
    </row>
    <row r="31" spans="1:86" ht="14" customHeight="1">
      <c r="A31" s="835"/>
      <c r="B31" s="185" t="s">
        <v>10</v>
      </c>
      <c r="C31" s="182" t="s">
        <v>1</v>
      </c>
      <c r="D31" s="198">
        <f t="shared" si="12"/>
        <v>1843954.9284848038</v>
      </c>
      <c r="E31" s="199">
        <f t="shared" si="13"/>
        <v>98878.66689502103</v>
      </c>
      <c r="F31" s="188"/>
      <c r="G31" s="198">
        <v>1843954.9284848038</v>
      </c>
      <c r="H31" s="199">
        <v>98878.66689502103</v>
      </c>
      <c r="I31" s="188"/>
      <c r="J31" s="198">
        <f>'Intermediate o&amp;g entries'!C35</f>
        <v>0</v>
      </c>
      <c r="K31" s="199">
        <f>'Intermediate o&amp;g entries'!D35</f>
        <v>0</v>
      </c>
      <c r="L31" s="188"/>
      <c r="M31" s="198">
        <f>'Allocation of "other" fuels'!C97</f>
        <v>0</v>
      </c>
      <c r="N31" s="199">
        <f>'Allocation of "other" fuels'!D97</f>
        <v>0</v>
      </c>
      <c r="O31" s="175"/>
    </row>
    <row r="32" spans="1:86" ht="14" customHeight="1">
      <c r="A32" s="835"/>
      <c r="B32" s="185" t="s">
        <v>10</v>
      </c>
      <c r="C32" s="183" t="s">
        <v>13</v>
      </c>
      <c r="D32" s="204">
        <f t="shared" si="12"/>
        <v>0</v>
      </c>
      <c r="E32" s="205">
        <f t="shared" si="13"/>
        <v>0</v>
      </c>
      <c r="F32" s="188"/>
      <c r="G32" s="204">
        <v>0</v>
      </c>
      <c r="H32" s="205">
        <v>0</v>
      </c>
      <c r="I32" s="188"/>
      <c r="J32" s="204">
        <f>'Intermediate o&amp;g entries'!C36</f>
        <v>0</v>
      </c>
      <c r="K32" s="205">
        <f>'Intermediate o&amp;g entries'!D36</f>
        <v>0</v>
      </c>
      <c r="L32" s="188"/>
      <c r="M32" s="204">
        <f>'Allocation of "other" fuels'!C98</f>
        <v>0</v>
      </c>
      <c r="N32" s="205">
        <f>'Allocation of "other" fuels'!D98</f>
        <v>0</v>
      </c>
      <c r="O32" s="175"/>
    </row>
    <row r="33" spans="1:15" ht="14" customHeight="1">
      <c r="A33" s="175"/>
      <c r="D33" s="830" t="s">
        <v>44</v>
      </c>
      <c r="E33" s="830"/>
      <c r="F33" s="188"/>
      <c r="G33" s="826" t="s">
        <v>852</v>
      </c>
      <c r="H33" s="826"/>
      <c r="I33" s="188"/>
      <c r="J33" s="188"/>
      <c r="K33" s="188"/>
      <c r="L33" s="188"/>
      <c r="M33" s="832" t="s">
        <v>851</v>
      </c>
      <c r="N33" s="832"/>
      <c r="O33" s="175"/>
    </row>
    <row r="34" spans="1:15" ht="14" customHeight="1">
      <c r="A34" s="834" t="s">
        <v>32</v>
      </c>
      <c r="B34" s="178" t="s">
        <v>761</v>
      </c>
      <c r="C34" s="178" t="s">
        <v>762</v>
      </c>
      <c r="D34" s="192" t="s">
        <v>208</v>
      </c>
      <c r="E34" s="193" t="s">
        <v>209</v>
      </c>
      <c r="F34" s="188"/>
      <c r="G34" s="192" t="s">
        <v>208</v>
      </c>
      <c r="H34" s="193" t="s">
        <v>209</v>
      </c>
      <c r="I34" s="188"/>
      <c r="J34" s="188"/>
      <c r="K34" s="188"/>
      <c r="L34" s="188"/>
      <c r="M34" s="192" t="s">
        <v>208</v>
      </c>
      <c r="N34" s="193" t="s">
        <v>209</v>
      </c>
      <c r="O34" s="175"/>
    </row>
    <row r="35" spans="1:15" ht="14" customHeight="1">
      <c r="A35" s="834"/>
      <c r="B35" s="179" t="s">
        <v>8</v>
      </c>
      <c r="C35" s="180" t="s">
        <v>0</v>
      </c>
      <c r="D35" s="198">
        <f>SUM(G35,M35)</f>
        <v>52765731897.655388</v>
      </c>
      <c r="E35" s="199">
        <f>SUM(H35,N35)</f>
        <v>842641586.72496641</v>
      </c>
      <c r="F35" s="188"/>
      <c r="G35" s="198">
        <v>52765731897.655388</v>
      </c>
      <c r="H35" s="199">
        <v>842641586.72496641</v>
      </c>
      <c r="I35" s="188"/>
      <c r="J35" s="188"/>
      <c r="K35" s="188"/>
      <c r="L35" s="188"/>
      <c r="M35" s="198">
        <f>'Allocation of "other" fuels'!G87</f>
        <v>0</v>
      </c>
      <c r="N35" s="199">
        <f>'Allocation of "other" fuels'!H87</f>
        <v>0</v>
      </c>
      <c r="O35" s="175"/>
    </row>
    <row r="36" spans="1:15" ht="14" customHeight="1">
      <c r="A36" s="834"/>
      <c r="B36" s="179" t="s">
        <v>8</v>
      </c>
      <c r="C36" s="181" t="s">
        <v>7</v>
      </c>
      <c r="D36" s="198">
        <f t="shared" ref="D36:D46" si="14">SUM(G36,M36)</f>
        <v>218998148.59501019</v>
      </c>
      <c r="E36" s="199">
        <f t="shared" ref="E36:E46" si="15">SUM(H36,N36)</f>
        <v>1216875.360458191</v>
      </c>
      <c r="F36" s="188"/>
      <c r="G36" s="198">
        <v>218998148.59501019</v>
      </c>
      <c r="H36" s="199">
        <v>1216875.360458191</v>
      </c>
      <c r="I36" s="188"/>
      <c r="J36" s="188"/>
      <c r="K36" s="188"/>
      <c r="L36" s="188"/>
      <c r="M36" s="198">
        <f>'Allocation of "other" fuels'!G88</f>
        <v>0</v>
      </c>
      <c r="N36" s="199">
        <f>'Allocation of "other" fuels'!H88</f>
        <v>0</v>
      </c>
      <c r="O36" s="175"/>
    </row>
    <row r="37" spans="1:15" ht="14" customHeight="1">
      <c r="A37" s="834"/>
      <c r="B37" s="179" t="s">
        <v>8</v>
      </c>
      <c r="C37" s="182" t="s">
        <v>1</v>
      </c>
      <c r="D37" s="198">
        <f t="shared" si="14"/>
        <v>6396218.3473578915</v>
      </c>
      <c r="E37" s="199">
        <f t="shared" si="15"/>
        <v>104161.25342482308</v>
      </c>
      <c r="F37" s="188"/>
      <c r="G37" s="198">
        <v>6396218.3473578915</v>
      </c>
      <c r="H37" s="199">
        <v>104161.25342482308</v>
      </c>
      <c r="I37" s="188"/>
      <c r="J37" s="188"/>
      <c r="K37" s="188"/>
      <c r="L37" s="188"/>
      <c r="M37" s="198">
        <f>'Allocation of "other" fuels'!G89</f>
        <v>0</v>
      </c>
      <c r="N37" s="199">
        <f>'Allocation of "other" fuels'!H89</f>
        <v>0</v>
      </c>
      <c r="O37" s="175"/>
    </row>
    <row r="38" spans="1:15" ht="14" customHeight="1">
      <c r="A38" s="834"/>
      <c r="B38" s="179" t="s">
        <v>8</v>
      </c>
      <c r="C38" s="183" t="s">
        <v>13</v>
      </c>
      <c r="D38" s="200">
        <f t="shared" si="14"/>
        <v>0</v>
      </c>
      <c r="E38" s="201">
        <f t="shared" si="15"/>
        <v>0</v>
      </c>
      <c r="F38" s="188"/>
      <c r="G38" s="200">
        <v>0</v>
      </c>
      <c r="H38" s="201">
        <v>0</v>
      </c>
      <c r="I38" s="188"/>
      <c r="J38" s="188"/>
      <c r="K38" s="188"/>
      <c r="L38" s="188"/>
      <c r="M38" s="200">
        <f>'Allocation of "other" fuels'!G90</f>
        <v>0</v>
      </c>
      <c r="N38" s="201">
        <f>'Allocation of "other" fuels'!H90</f>
        <v>0</v>
      </c>
      <c r="O38" s="175"/>
    </row>
    <row r="39" spans="1:15" ht="14" customHeight="1">
      <c r="A39" s="834"/>
      <c r="B39" s="184" t="s">
        <v>9</v>
      </c>
      <c r="C39" s="180" t="s">
        <v>0</v>
      </c>
      <c r="D39" s="198">
        <f t="shared" si="14"/>
        <v>271353554.3079775</v>
      </c>
      <c r="E39" s="199">
        <f t="shared" si="15"/>
        <v>258999441.86931279</v>
      </c>
      <c r="F39" s="188"/>
      <c r="G39" s="198">
        <v>268729236.05782539</v>
      </c>
      <c r="H39" s="199">
        <v>258939430.00561866</v>
      </c>
      <c r="I39" s="188"/>
      <c r="J39" s="188"/>
      <c r="K39" s="188"/>
      <c r="L39" s="188"/>
      <c r="M39" s="198">
        <f>'Allocation of "other" fuels'!G91</f>
        <v>2624318.2501521045</v>
      </c>
      <c r="N39" s="199">
        <f>'Allocation of "other" fuels'!H91</f>
        <v>60011.863694136307</v>
      </c>
      <c r="O39" s="175"/>
    </row>
    <row r="40" spans="1:15" ht="14" customHeight="1">
      <c r="A40" s="834"/>
      <c r="B40" s="184" t="s">
        <v>9</v>
      </c>
      <c r="C40" s="181" t="s">
        <v>7</v>
      </c>
      <c r="D40" s="198">
        <f t="shared" si="14"/>
        <v>0</v>
      </c>
      <c r="E40" s="199">
        <f t="shared" si="15"/>
        <v>0</v>
      </c>
      <c r="F40" s="188"/>
      <c r="G40" s="198">
        <v>0</v>
      </c>
      <c r="H40" s="199">
        <v>0</v>
      </c>
      <c r="I40" s="188"/>
      <c r="J40" s="188"/>
      <c r="K40" s="188"/>
      <c r="L40" s="188"/>
      <c r="M40" s="198">
        <f>'Allocation of "other" fuels'!G92</f>
        <v>0</v>
      </c>
      <c r="N40" s="199">
        <f>'Allocation of "other" fuels'!H92</f>
        <v>0</v>
      </c>
      <c r="O40" s="175"/>
    </row>
    <row r="41" spans="1:15" ht="14" customHeight="1">
      <c r="A41" s="834"/>
      <c r="B41" s="184" t="s">
        <v>9</v>
      </c>
      <c r="C41" s="182" t="s">
        <v>1</v>
      </c>
      <c r="D41" s="198">
        <f t="shared" si="14"/>
        <v>0</v>
      </c>
      <c r="E41" s="199">
        <f t="shared" si="15"/>
        <v>0</v>
      </c>
      <c r="F41" s="188"/>
      <c r="G41" s="198">
        <v>0</v>
      </c>
      <c r="H41" s="199">
        <v>0</v>
      </c>
      <c r="I41" s="188"/>
      <c r="J41" s="188"/>
      <c r="K41" s="188"/>
      <c r="L41" s="188"/>
      <c r="M41" s="198">
        <f>'Allocation of "other" fuels'!G93</f>
        <v>0</v>
      </c>
      <c r="N41" s="199">
        <f>'Allocation of "other" fuels'!H93</f>
        <v>0</v>
      </c>
      <c r="O41" s="175"/>
    </row>
    <row r="42" spans="1:15" ht="14" customHeight="1">
      <c r="A42" s="834"/>
      <c r="B42" s="184" t="s">
        <v>9</v>
      </c>
      <c r="C42" s="183" t="s">
        <v>13</v>
      </c>
      <c r="D42" s="202">
        <f t="shared" si="14"/>
        <v>0</v>
      </c>
      <c r="E42" s="203">
        <f t="shared" si="15"/>
        <v>0</v>
      </c>
      <c r="F42" s="188"/>
      <c r="G42" s="202">
        <v>0</v>
      </c>
      <c r="H42" s="203">
        <v>0</v>
      </c>
      <c r="I42" s="188"/>
      <c r="J42" s="188"/>
      <c r="K42" s="188"/>
      <c r="L42" s="188"/>
      <c r="M42" s="202">
        <f>'Allocation of "other" fuels'!G94</f>
        <v>0</v>
      </c>
      <c r="N42" s="203">
        <f>'Allocation of "other" fuels'!H94</f>
        <v>0</v>
      </c>
      <c r="O42" s="175"/>
    </row>
    <row r="43" spans="1:15" ht="14" customHeight="1">
      <c r="A43" s="834"/>
      <c r="B43" s="185" t="s">
        <v>10</v>
      </c>
      <c r="C43" s="180" t="s">
        <v>0</v>
      </c>
      <c r="D43" s="198">
        <f t="shared" si="14"/>
        <v>320982578.75456566</v>
      </c>
      <c r="E43" s="199">
        <f t="shared" si="15"/>
        <v>27653153.69694639</v>
      </c>
      <c r="F43" s="188"/>
      <c r="G43" s="198">
        <v>320982578.75456566</v>
      </c>
      <c r="H43" s="199">
        <v>27653153.69694639</v>
      </c>
      <c r="I43" s="188"/>
      <c r="J43" s="188"/>
      <c r="K43" s="188"/>
      <c r="L43" s="188"/>
      <c r="M43" s="198">
        <f>'Allocation of "other" fuels'!G95</f>
        <v>0</v>
      </c>
      <c r="N43" s="199">
        <f>'Allocation of "other" fuels'!H95</f>
        <v>0</v>
      </c>
      <c r="O43" s="175"/>
    </row>
    <row r="44" spans="1:15" ht="14" customHeight="1">
      <c r="A44" s="834"/>
      <c r="B44" s="185" t="s">
        <v>10</v>
      </c>
      <c r="C44" s="181" t="s">
        <v>7</v>
      </c>
      <c r="D44" s="198">
        <f t="shared" si="14"/>
        <v>1325451.2061746339</v>
      </c>
      <c r="E44" s="199">
        <f t="shared" si="15"/>
        <v>30547.404922290276</v>
      </c>
      <c r="F44" s="188"/>
      <c r="G44" s="198">
        <v>1325451.2061746339</v>
      </c>
      <c r="H44" s="199">
        <v>30547.404922290276</v>
      </c>
      <c r="I44" s="188"/>
      <c r="J44" s="188"/>
      <c r="K44" s="188"/>
      <c r="L44" s="188"/>
      <c r="M44" s="198">
        <f>'Allocation of "other" fuels'!G96</f>
        <v>0</v>
      </c>
      <c r="N44" s="199">
        <f>'Allocation of "other" fuels'!H96</f>
        <v>0</v>
      </c>
      <c r="O44" s="175"/>
    </row>
    <row r="45" spans="1:15" ht="14" customHeight="1">
      <c r="A45" s="834"/>
      <c r="B45" s="185" t="s">
        <v>10</v>
      </c>
      <c r="C45" s="182" t="s">
        <v>1</v>
      </c>
      <c r="D45" s="198">
        <f t="shared" si="14"/>
        <v>38712.08673612964</v>
      </c>
      <c r="E45" s="199">
        <f t="shared" si="15"/>
        <v>2614.7755875205644</v>
      </c>
      <c r="F45" s="188"/>
      <c r="G45" s="198">
        <v>38712.08673612964</v>
      </c>
      <c r="H45" s="199">
        <v>2614.7755875205644</v>
      </c>
      <c r="I45" s="188"/>
      <c r="J45" s="188"/>
      <c r="K45" s="188"/>
      <c r="L45" s="188"/>
      <c r="M45" s="198">
        <f>'Allocation of "other" fuels'!G97</f>
        <v>0</v>
      </c>
      <c r="N45" s="199">
        <f>'Allocation of "other" fuels'!H97</f>
        <v>0</v>
      </c>
      <c r="O45" s="175"/>
    </row>
    <row r="46" spans="1:15" ht="14" customHeight="1">
      <c r="A46" s="834"/>
      <c r="B46" s="185" t="s">
        <v>10</v>
      </c>
      <c r="C46" s="183" t="s">
        <v>13</v>
      </c>
      <c r="D46" s="204">
        <f t="shared" si="14"/>
        <v>0</v>
      </c>
      <c r="E46" s="205">
        <f t="shared" si="15"/>
        <v>0</v>
      </c>
      <c r="F46" s="188"/>
      <c r="G46" s="204">
        <v>0</v>
      </c>
      <c r="H46" s="205">
        <v>0</v>
      </c>
      <c r="I46" s="188"/>
      <c r="J46" s="188"/>
      <c r="K46" s="188"/>
      <c r="L46" s="188"/>
      <c r="M46" s="204">
        <f>'Allocation of "other" fuels'!G98</f>
        <v>0</v>
      </c>
      <c r="N46" s="205">
        <f>'Allocation of "other" fuels'!H98</f>
        <v>0</v>
      </c>
      <c r="O46" s="175"/>
    </row>
    <row r="47" spans="1:15" ht="14" customHeight="1">
      <c r="A47" s="175"/>
      <c r="D47" s="831" t="s">
        <v>45</v>
      </c>
      <c r="E47" s="831"/>
      <c r="F47" s="188"/>
      <c r="G47" s="826" t="s">
        <v>852</v>
      </c>
      <c r="H47" s="826"/>
      <c r="I47" s="188"/>
      <c r="J47" s="188"/>
      <c r="K47" s="188"/>
      <c r="L47" s="188"/>
      <c r="M47" s="832" t="s">
        <v>851</v>
      </c>
      <c r="N47" s="832"/>
      <c r="O47" s="175"/>
    </row>
    <row r="48" spans="1:15" ht="14" customHeight="1">
      <c r="A48" s="834" t="s">
        <v>32</v>
      </c>
      <c r="B48" s="178" t="s">
        <v>761</v>
      </c>
      <c r="C48" s="178" t="s">
        <v>762</v>
      </c>
      <c r="D48" s="192" t="s">
        <v>208</v>
      </c>
      <c r="E48" s="193" t="s">
        <v>209</v>
      </c>
      <c r="F48" s="188"/>
      <c r="G48" s="192" t="s">
        <v>208</v>
      </c>
      <c r="H48" s="193" t="s">
        <v>209</v>
      </c>
      <c r="I48" s="188"/>
      <c r="J48" s="188"/>
      <c r="K48" s="188"/>
      <c r="L48" s="188"/>
      <c r="M48" s="192" t="s">
        <v>208</v>
      </c>
      <c r="N48" s="193" t="s">
        <v>209</v>
      </c>
      <c r="O48" s="175"/>
    </row>
    <row r="49" spans="1:15" ht="14" customHeight="1">
      <c r="A49" s="834"/>
      <c r="B49" s="179" t="s">
        <v>8</v>
      </c>
      <c r="C49" s="180" t="s">
        <v>0</v>
      </c>
      <c r="D49" s="198">
        <f>SUM(G49,M49)</f>
        <v>43312329001.471283</v>
      </c>
      <c r="E49" s="199">
        <f>SUM(H49,N49)</f>
        <v>953766980.36746275</v>
      </c>
      <c r="F49" s="188"/>
      <c r="G49" s="198">
        <v>43309900711.363876</v>
      </c>
      <c r="H49" s="199">
        <v>953711451.19720042</v>
      </c>
      <c r="I49" s="188"/>
      <c r="J49" s="188"/>
      <c r="K49" s="188"/>
      <c r="L49" s="188"/>
      <c r="M49" s="198">
        <f>'Allocation of "other" fuels'!I87</f>
        <v>2428290.1074046502</v>
      </c>
      <c r="N49" s="199">
        <f>'Allocation of "other" fuels'!J87</f>
        <v>55529.17026238767</v>
      </c>
      <c r="O49" s="175"/>
    </row>
    <row r="50" spans="1:15" ht="14" customHeight="1">
      <c r="A50" s="834"/>
      <c r="B50" s="179" t="s">
        <v>8</v>
      </c>
      <c r="C50" s="181" t="s">
        <v>7</v>
      </c>
      <c r="D50" s="198">
        <f t="shared" ref="D50:D60" si="16">SUM(G50,M50)</f>
        <v>2885368545.2850142</v>
      </c>
      <c r="E50" s="199">
        <f t="shared" ref="E50:E60" si="17">SUM(H50,N50)</f>
        <v>38162780.286631323</v>
      </c>
      <c r="F50" s="188"/>
      <c r="G50" s="198">
        <v>2885368545.2850142</v>
      </c>
      <c r="H50" s="199">
        <v>38162780.286631323</v>
      </c>
      <c r="I50" s="188"/>
      <c r="J50" s="188"/>
      <c r="K50" s="188"/>
      <c r="L50" s="188"/>
      <c r="M50" s="198">
        <f>'Allocation of "other" fuels'!I88</f>
        <v>0</v>
      </c>
      <c r="N50" s="199">
        <f>'Allocation of "other" fuels'!J88</f>
        <v>0</v>
      </c>
      <c r="O50" s="175"/>
    </row>
    <row r="51" spans="1:15" ht="14" customHeight="1">
      <c r="A51" s="834"/>
      <c r="B51" s="179" t="s">
        <v>8</v>
      </c>
      <c r="C51" s="182" t="s">
        <v>1</v>
      </c>
      <c r="D51" s="198">
        <f t="shared" si="16"/>
        <v>2407606318.3860168</v>
      </c>
      <c r="E51" s="199">
        <f t="shared" si="17"/>
        <v>24559347.305559877</v>
      </c>
      <c r="F51" s="188"/>
      <c r="G51" s="198">
        <v>2384362081.407805</v>
      </c>
      <c r="H51" s="199">
        <v>24027807.35946919</v>
      </c>
      <c r="I51" s="188"/>
      <c r="J51" s="188"/>
      <c r="K51" s="188"/>
      <c r="L51" s="188"/>
      <c r="M51" s="198">
        <f>'Allocation of "other" fuels'!I89</f>
        <v>23244236.978211969</v>
      </c>
      <c r="N51" s="199">
        <f>'Allocation of "other" fuels'!J89</f>
        <v>531539.94609068846</v>
      </c>
      <c r="O51" s="175"/>
    </row>
    <row r="52" spans="1:15" ht="14" customHeight="1">
      <c r="A52" s="834"/>
      <c r="B52" s="179" t="s">
        <v>8</v>
      </c>
      <c r="C52" s="183" t="s">
        <v>13</v>
      </c>
      <c r="D52" s="200">
        <f t="shared" si="16"/>
        <v>0</v>
      </c>
      <c r="E52" s="201">
        <f t="shared" si="17"/>
        <v>0</v>
      </c>
      <c r="F52" s="188"/>
      <c r="G52" s="200">
        <v>0</v>
      </c>
      <c r="H52" s="201">
        <v>0</v>
      </c>
      <c r="I52" s="188"/>
      <c r="J52" s="188"/>
      <c r="K52" s="188"/>
      <c r="L52" s="188"/>
      <c r="M52" s="200">
        <f>'Allocation of "other" fuels'!I90</f>
        <v>0</v>
      </c>
      <c r="N52" s="201">
        <f>'Allocation of "other" fuels'!J90</f>
        <v>0</v>
      </c>
      <c r="O52" s="175"/>
    </row>
    <row r="53" spans="1:15" ht="14" customHeight="1">
      <c r="A53" s="834"/>
      <c r="B53" s="184" t="s">
        <v>9</v>
      </c>
      <c r="C53" s="180" t="s">
        <v>0</v>
      </c>
      <c r="D53" s="198">
        <f t="shared" si="16"/>
        <v>69661510.648158446</v>
      </c>
      <c r="E53" s="199">
        <f t="shared" si="17"/>
        <v>52071461.880900301</v>
      </c>
      <c r="F53" s="188"/>
      <c r="G53" s="198">
        <v>56822960.050391644</v>
      </c>
      <c r="H53" s="199">
        <v>51777875.02326259</v>
      </c>
      <c r="I53" s="188"/>
      <c r="J53" s="188"/>
      <c r="K53" s="188"/>
      <c r="L53" s="188"/>
      <c r="M53" s="198">
        <f>'Allocation of "other" fuels'!I91</f>
        <v>12838550.597766804</v>
      </c>
      <c r="N53" s="199">
        <f>'Allocation of "other" fuels'!J91</f>
        <v>293586.85763771133</v>
      </c>
      <c r="O53" s="175"/>
    </row>
    <row r="54" spans="1:15" ht="14" customHeight="1">
      <c r="A54" s="834"/>
      <c r="B54" s="184" t="s">
        <v>9</v>
      </c>
      <c r="C54" s="181" t="s">
        <v>7</v>
      </c>
      <c r="D54" s="198">
        <f t="shared" si="16"/>
        <v>3883752.9322478292</v>
      </c>
      <c r="E54" s="199">
        <f t="shared" si="17"/>
        <v>3528169.6565117384</v>
      </c>
      <c r="F54" s="188"/>
      <c r="G54" s="198">
        <v>3883752.9322478292</v>
      </c>
      <c r="H54" s="199">
        <v>3528169.6565117384</v>
      </c>
      <c r="I54" s="188"/>
      <c r="J54" s="188"/>
      <c r="K54" s="188"/>
      <c r="L54" s="188"/>
      <c r="M54" s="198">
        <f>'Allocation of "other" fuels'!I92</f>
        <v>0</v>
      </c>
      <c r="N54" s="199">
        <f>'Allocation of "other" fuels'!J92</f>
        <v>0</v>
      </c>
      <c r="O54" s="175"/>
    </row>
    <row r="55" spans="1:15" ht="14" customHeight="1">
      <c r="A55" s="834"/>
      <c r="B55" s="184" t="s">
        <v>9</v>
      </c>
      <c r="C55" s="182" t="s">
        <v>1</v>
      </c>
      <c r="D55" s="198">
        <f t="shared" si="16"/>
        <v>0</v>
      </c>
      <c r="E55" s="199">
        <f t="shared" si="17"/>
        <v>0</v>
      </c>
      <c r="F55" s="188"/>
      <c r="G55" s="198">
        <v>0</v>
      </c>
      <c r="H55" s="199">
        <v>0</v>
      </c>
      <c r="I55" s="188"/>
      <c r="J55" s="188"/>
      <c r="K55" s="188"/>
      <c r="L55" s="188"/>
      <c r="M55" s="198">
        <f>'Allocation of "other" fuels'!I93</f>
        <v>0</v>
      </c>
      <c r="N55" s="199">
        <f>'Allocation of "other" fuels'!J93</f>
        <v>0</v>
      </c>
      <c r="O55" s="175"/>
    </row>
    <row r="56" spans="1:15" ht="14" customHeight="1">
      <c r="A56" s="834"/>
      <c r="B56" s="184" t="s">
        <v>9</v>
      </c>
      <c r="C56" s="183" t="s">
        <v>13</v>
      </c>
      <c r="D56" s="202">
        <f t="shared" si="16"/>
        <v>0</v>
      </c>
      <c r="E56" s="203">
        <f t="shared" si="17"/>
        <v>0</v>
      </c>
      <c r="F56" s="188"/>
      <c r="G56" s="202">
        <v>0</v>
      </c>
      <c r="H56" s="203">
        <v>0</v>
      </c>
      <c r="I56" s="188"/>
      <c r="J56" s="188"/>
      <c r="K56" s="188"/>
      <c r="L56" s="188"/>
      <c r="M56" s="202">
        <f>'Allocation of "other" fuels'!I94</f>
        <v>0</v>
      </c>
      <c r="N56" s="203">
        <f>'Allocation of "other" fuels'!J94</f>
        <v>0</v>
      </c>
      <c r="O56" s="175"/>
    </row>
    <row r="57" spans="1:15" ht="14" customHeight="1">
      <c r="A57" s="834"/>
      <c r="B57" s="185" t="s">
        <v>10</v>
      </c>
      <c r="C57" s="180" t="s">
        <v>0</v>
      </c>
      <c r="D57" s="198">
        <f t="shared" si="16"/>
        <v>21846291.182756715</v>
      </c>
      <c r="E57" s="199">
        <f t="shared" si="17"/>
        <v>8295365.9365145331</v>
      </c>
      <c r="F57" s="188"/>
      <c r="G57" s="198">
        <v>21846291.182756715</v>
      </c>
      <c r="H57" s="199">
        <v>8295365.9365145331</v>
      </c>
      <c r="I57" s="188"/>
      <c r="J57" s="188"/>
      <c r="K57" s="188"/>
      <c r="L57" s="188"/>
      <c r="M57" s="198">
        <f>'Allocation of "other" fuels'!I95</f>
        <v>0</v>
      </c>
      <c r="N57" s="199">
        <f>'Allocation of "other" fuels'!J95</f>
        <v>0</v>
      </c>
      <c r="O57" s="175"/>
    </row>
    <row r="58" spans="1:15" ht="14" customHeight="1">
      <c r="A58" s="834"/>
      <c r="B58" s="185" t="s">
        <v>10</v>
      </c>
      <c r="C58" s="181" t="s">
        <v>7</v>
      </c>
      <c r="D58" s="198">
        <f t="shared" si="16"/>
        <v>1455481.1077164526</v>
      </c>
      <c r="E58" s="199">
        <f t="shared" si="17"/>
        <v>343953.61243591399</v>
      </c>
      <c r="F58" s="188"/>
      <c r="G58" s="198">
        <v>1455481.1077164526</v>
      </c>
      <c r="H58" s="199">
        <v>343953.61243591399</v>
      </c>
      <c r="I58" s="188"/>
      <c r="J58" s="188"/>
      <c r="K58" s="188"/>
      <c r="L58" s="188"/>
      <c r="M58" s="198">
        <f>'Allocation of "other" fuels'!I96</f>
        <v>0</v>
      </c>
      <c r="N58" s="199">
        <f>'Allocation of "other" fuels'!J96</f>
        <v>0</v>
      </c>
      <c r="O58" s="175"/>
    </row>
    <row r="59" spans="1:15" ht="14" customHeight="1">
      <c r="A59" s="834"/>
      <c r="B59" s="185" t="s">
        <v>10</v>
      </c>
      <c r="C59" s="182" t="s">
        <v>1</v>
      </c>
      <c r="D59" s="198">
        <f t="shared" si="16"/>
        <v>1201139.1201750897</v>
      </c>
      <c r="E59" s="199">
        <f t="shared" si="17"/>
        <v>198231.29843466013</v>
      </c>
      <c r="F59" s="188"/>
      <c r="G59" s="198">
        <v>1201139.1201750897</v>
      </c>
      <c r="H59" s="199">
        <v>198231.29843466013</v>
      </c>
      <c r="I59" s="188"/>
      <c r="J59" s="188"/>
      <c r="K59" s="188"/>
      <c r="L59" s="188"/>
      <c r="M59" s="198">
        <f>'Allocation of "other" fuels'!I97</f>
        <v>0</v>
      </c>
      <c r="N59" s="199">
        <f>'Allocation of "other" fuels'!J97</f>
        <v>0</v>
      </c>
      <c r="O59" s="175"/>
    </row>
    <row r="60" spans="1:15" ht="14" customHeight="1">
      <c r="A60" s="834"/>
      <c r="B60" s="185" t="s">
        <v>10</v>
      </c>
      <c r="C60" s="183" t="s">
        <v>13</v>
      </c>
      <c r="D60" s="204">
        <f t="shared" si="16"/>
        <v>0</v>
      </c>
      <c r="E60" s="205">
        <f t="shared" si="17"/>
        <v>0</v>
      </c>
      <c r="F60" s="188"/>
      <c r="G60" s="204">
        <v>0</v>
      </c>
      <c r="H60" s="205">
        <v>0</v>
      </c>
      <c r="I60" s="188"/>
      <c r="J60" s="188"/>
      <c r="K60" s="188"/>
      <c r="L60" s="188"/>
      <c r="M60" s="204">
        <f>'Allocation of "other" fuels'!I98</f>
        <v>0</v>
      </c>
      <c r="N60" s="205">
        <f>'Allocation of "other" fuels'!J98</f>
        <v>0</v>
      </c>
      <c r="O60" s="175"/>
    </row>
    <row r="61" spans="1:15" ht="14" customHeight="1">
      <c r="A61" s="175"/>
      <c r="D61" s="829" t="s">
        <v>22</v>
      </c>
      <c r="E61" s="829"/>
      <c r="F61" s="188"/>
      <c r="G61" s="188"/>
      <c r="H61" s="188"/>
      <c r="I61" s="188"/>
      <c r="J61" s="188"/>
      <c r="K61" s="188"/>
      <c r="L61" s="188"/>
      <c r="M61" s="188"/>
      <c r="N61" s="188"/>
      <c r="O61" s="175"/>
    </row>
    <row r="62" spans="1:15" ht="14" customHeight="1">
      <c r="A62" s="834" t="s">
        <v>32</v>
      </c>
      <c r="B62" s="178" t="s">
        <v>761</v>
      </c>
      <c r="C62" s="178" t="s">
        <v>762</v>
      </c>
      <c r="D62" s="192" t="s">
        <v>208</v>
      </c>
      <c r="E62" s="193" t="s">
        <v>209</v>
      </c>
      <c r="F62" s="188"/>
      <c r="G62" s="417"/>
      <c r="H62" s="188"/>
      <c r="I62" s="188"/>
      <c r="J62" s="188"/>
      <c r="K62" s="188"/>
      <c r="L62" s="188"/>
      <c r="M62" s="188"/>
      <c r="N62" s="188"/>
      <c r="O62" s="175"/>
    </row>
    <row r="63" spans="1:15" ht="14" customHeight="1">
      <c r="A63" s="834"/>
      <c r="B63" s="179" t="s">
        <v>8</v>
      </c>
      <c r="C63" s="180" t="s">
        <v>0</v>
      </c>
      <c r="D63" s="198">
        <v>6439894528.1296577</v>
      </c>
      <c r="E63" s="199">
        <v>112838651.40792342</v>
      </c>
      <c r="F63" s="188"/>
      <c r="G63" s="188"/>
      <c r="H63" s="188"/>
      <c r="I63" s="188"/>
      <c r="J63" s="188"/>
      <c r="K63" s="188"/>
      <c r="L63" s="188"/>
      <c r="M63" s="188"/>
      <c r="N63" s="188"/>
      <c r="O63" s="175"/>
    </row>
    <row r="64" spans="1:15" ht="14" customHeight="1">
      <c r="A64" s="834"/>
      <c r="B64" s="179" t="s">
        <v>8</v>
      </c>
      <c r="C64" s="181" t="s">
        <v>7</v>
      </c>
      <c r="D64" s="198">
        <v>0</v>
      </c>
      <c r="E64" s="199">
        <v>0</v>
      </c>
      <c r="F64" s="188"/>
      <c r="G64" s="188"/>
      <c r="H64" s="188"/>
      <c r="I64" s="188"/>
      <c r="J64" s="188"/>
      <c r="K64" s="188"/>
      <c r="L64" s="188"/>
      <c r="M64" s="188"/>
      <c r="N64" s="188"/>
      <c r="O64" s="175"/>
    </row>
    <row r="65" spans="1:15" ht="14" customHeight="1">
      <c r="A65" s="834"/>
      <c r="B65" s="179" t="s">
        <v>8</v>
      </c>
      <c r="C65" s="182" t="s">
        <v>1</v>
      </c>
      <c r="D65" s="198">
        <v>0</v>
      </c>
      <c r="E65" s="199">
        <v>0</v>
      </c>
      <c r="F65" s="188"/>
      <c r="G65" s="188"/>
      <c r="H65" s="188"/>
      <c r="I65" s="188"/>
      <c r="J65" s="188"/>
      <c r="K65" s="188"/>
      <c r="L65" s="188"/>
      <c r="M65" s="188"/>
      <c r="N65" s="188"/>
      <c r="O65" s="175"/>
    </row>
    <row r="66" spans="1:15" ht="14" customHeight="1">
      <c r="A66" s="834"/>
      <c r="B66" s="179" t="s">
        <v>8</v>
      </c>
      <c r="C66" s="183" t="s">
        <v>13</v>
      </c>
      <c r="D66" s="200">
        <v>0</v>
      </c>
      <c r="E66" s="201">
        <v>0</v>
      </c>
      <c r="F66" s="188"/>
      <c r="G66" s="188"/>
      <c r="H66" s="188"/>
      <c r="I66" s="188"/>
      <c r="J66" s="188"/>
      <c r="K66" s="188"/>
      <c r="L66" s="188"/>
      <c r="M66" s="188"/>
      <c r="N66" s="188"/>
      <c r="O66" s="175"/>
    </row>
    <row r="67" spans="1:15" ht="14" customHeight="1">
      <c r="A67" s="834"/>
      <c r="B67" s="184" t="s">
        <v>9</v>
      </c>
      <c r="C67" s="180" t="s">
        <v>0</v>
      </c>
      <c r="D67" s="198">
        <v>9428358.5358717237</v>
      </c>
      <c r="E67" s="199">
        <v>8486310.6390247531</v>
      </c>
      <c r="F67" s="188"/>
      <c r="G67" s="188"/>
      <c r="H67" s="188"/>
      <c r="I67" s="188"/>
      <c r="J67" s="188"/>
      <c r="K67" s="188"/>
      <c r="L67" s="188"/>
      <c r="M67" s="188"/>
      <c r="N67" s="188"/>
      <c r="O67" s="175"/>
    </row>
    <row r="68" spans="1:15" ht="14" customHeight="1">
      <c r="A68" s="834"/>
      <c r="B68" s="184" t="s">
        <v>9</v>
      </c>
      <c r="C68" s="181" t="s">
        <v>7</v>
      </c>
      <c r="D68" s="198">
        <v>0</v>
      </c>
      <c r="E68" s="199">
        <v>0</v>
      </c>
      <c r="F68" s="188"/>
      <c r="G68" s="188"/>
      <c r="H68" s="188"/>
      <c r="I68" s="188"/>
      <c r="J68" s="188"/>
      <c r="K68" s="188"/>
      <c r="L68" s="188"/>
      <c r="M68" s="188"/>
      <c r="N68" s="188"/>
      <c r="O68" s="175"/>
    </row>
    <row r="69" spans="1:15" ht="14" customHeight="1">
      <c r="A69" s="834"/>
      <c r="B69" s="184" t="s">
        <v>9</v>
      </c>
      <c r="C69" s="182" t="s">
        <v>1</v>
      </c>
      <c r="D69" s="198">
        <v>5023128.161675103</v>
      </c>
      <c r="E69" s="199">
        <v>4538085.9414762259</v>
      </c>
      <c r="F69" s="188"/>
      <c r="G69" s="188"/>
      <c r="H69" s="188"/>
      <c r="I69" s="188"/>
      <c r="J69" s="188"/>
      <c r="K69" s="188"/>
      <c r="L69" s="188"/>
      <c r="M69" s="188"/>
      <c r="N69" s="188"/>
      <c r="O69" s="175"/>
    </row>
    <row r="70" spans="1:15" ht="14" customHeight="1">
      <c r="A70" s="834"/>
      <c r="B70" s="184" t="s">
        <v>9</v>
      </c>
      <c r="C70" s="183" t="s">
        <v>13</v>
      </c>
      <c r="D70" s="202">
        <v>0</v>
      </c>
      <c r="E70" s="203">
        <v>0</v>
      </c>
      <c r="F70" s="188"/>
      <c r="G70" s="188"/>
      <c r="H70" s="188"/>
      <c r="I70" s="188"/>
      <c r="J70" s="188"/>
      <c r="K70" s="188"/>
      <c r="L70" s="188"/>
      <c r="M70" s="188"/>
      <c r="N70" s="188"/>
      <c r="O70" s="175"/>
    </row>
    <row r="71" spans="1:15" ht="14" customHeight="1">
      <c r="A71" s="834"/>
      <c r="B71" s="185" t="s">
        <v>10</v>
      </c>
      <c r="C71" s="180" t="s">
        <v>0</v>
      </c>
      <c r="D71" s="198">
        <v>63787.819688526353</v>
      </c>
      <c r="E71" s="199">
        <v>55593.650750737645</v>
      </c>
      <c r="F71" s="188"/>
      <c r="G71" s="188"/>
      <c r="H71" s="188"/>
      <c r="I71" s="188"/>
      <c r="J71" s="188"/>
      <c r="K71" s="188"/>
      <c r="L71" s="188"/>
      <c r="M71" s="188"/>
      <c r="N71" s="188"/>
      <c r="O71" s="175"/>
    </row>
    <row r="72" spans="1:15" ht="14" customHeight="1">
      <c r="A72" s="834"/>
      <c r="B72" s="185" t="s">
        <v>10</v>
      </c>
      <c r="C72" s="181" t="s">
        <v>7</v>
      </c>
      <c r="D72" s="198">
        <v>0</v>
      </c>
      <c r="E72" s="199">
        <v>0</v>
      </c>
      <c r="F72" s="188"/>
      <c r="G72" s="188"/>
      <c r="H72" s="188"/>
      <c r="I72" s="188"/>
      <c r="J72" s="188"/>
      <c r="K72" s="188"/>
      <c r="L72" s="188"/>
      <c r="M72" s="188"/>
      <c r="N72" s="188"/>
      <c r="O72" s="175"/>
    </row>
    <row r="73" spans="1:15" ht="14" customHeight="1">
      <c r="A73" s="834"/>
      <c r="B73" s="185" t="s">
        <v>10</v>
      </c>
      <c r="C73" s="182" t="s">
        <v>1</v>
      </c>
      <c r="D73" s="198">
        <v>49.681865690392357</v>
      </c>
      <c r="E73" s="199">
        <v>2079.4464770542068</v>
      </c>
      <c r="F73" s="188"/>
      <c r="G73" s="188"/>
      <c r="H73" s="188"/>
      <c r="I73" s="188"/>
      <c r="J73" s="188"/>
      <c r="K73" s="188"/>
      <c r="L73" s="188"/>
      <c r="M73" s="188"/>
      <c r="N73" s="188"/>
      <c r="O73" s="175"/>
    </row>
    <row r="74" spans="1:15" ht="14" customHeight="1">
      <c r="A74" s="834"/>
      <c r="B74" s="185" t="s">
        <v>10</v>
      </c>
      <c r="C74" s="183" t="s">
        <v>13</v>
      </c>
      <c r="D74" s="204">
        <v>0</v>
      </c>
      <c r="E74" s="205">
        <v>0</v>
      </c>
      <c r="F74" s="188"/>
      <c r="G74" s="188"/>
      <c r="H74" s="188"/>
      <c r="I74" s="188"/>
      <c r="J74" s="188"/>
      <c r="K74" s="188"/>
      <c r="L74" s="188"/>
      <c r="M74" s="188"/>
      <c r="N74" s="188"/>
      <c r="O74" s="175"/>
    </row>
    <row r="75" spans="1:15" ht="15" customHeight="1">
      <c r="A75" s="175"/>
      <c r="D75" s="828" t="s">
        <v>3</v>
      </c>
      <c r="E75" s="828"/>
      <c r="F75" s="188"/>
      <c r="G75" s="826" t="s">
        <v>852</v>
      </c>
      <c r="H75" s="826"/>
      <c r="I75" s="188"/>
      <c r="J75" s="188"/>
      <c r="K75" s="188"/>
      <c r="L75" s="188"/>
      <c r="M75" s="832" t="s">
        <v>851</v>
      </c>
      <c r="N75" s="832"/>
      <c r="O75" s="175"/>
    </row>
    <row r="76" spans="1:15" ht="14" customHeight="1">
      <c r="A76" s="834" t="s">
        <v>32</v>
      </c>
      <c r="B76" s="178" t="s">
        <v>761</v>
      </c>
      <c r="C76" s="178" t="s">
        <v>762</v>
      </c>
      <c r="D76" s="192" t="s">
        <v>208</v>
      </c>
      <c r="E76" s="193" t="s">
        <v>209</v>
      </c>
      <c r="F76" s="188"/>
      <c r="G76" s="192" t="s">
        <v>208</v>
      </c>
      <c r="H76" s="193" t="s">
        <v>209</v>
      </c>
      <c r="I76" s="188"/>
      <c r="J76" s="188"/>
      <c r="K76" s="188"/>
      <c r="L76" s="188"/>
      <c r="M76" s="192" t="s">
        <v>208</v>
      </c>
      <c r="N76" s="193" t="s">
        <v>209</v>
      </c>
      <c r="O76" s="175"/>
    </row>
    <row r="77" spans="1:15" ht="14" customHeight="1">
      <c r="A77" s="834"/>
      <c r="B77" s="179" t="s">
        <v>8</v>
      </c>
      <c r="C77" s="180" t="s">
        <v>0</v>
      </c>
      <c r="D77" s="198">
        <f>SUM(G77,M77)</f>
        <v>8338334382.198472</v>
      </c>
      <c r="E77" s="199">
        <f>SUM(H77,N77)</f>
        <v>484329590.63536161</v>
      </c>
      <c r="F77" s="188"/>
      <c r="G77" s="198">
        <v>8211710286.6610346</v>
      </c>
      <c r="H77" s="199">
        <v>481434001.29083544</v>
      </c>
      <c r="I77" s="188"/>
      <c r="J77" s="188"/>
      <c r="K77" s="188"/>
      <c r="L77" s="188"/>
      <c r="M77" s="198">
        <f>'Allocation of "other" fuels'!E87</f>
        <v>126624095.53743723</v>
      </c>
      <c r="N77" s="199">
        <f>'Allocation of "other" fuels'!F87</f>
        <v>2895589.3445261619</v>
      </c>
      <c r="O77" s="175"/>
    </row>
    <row r="78" spans="1:15" ht="14" customHeight="1">
      <c r="A78" s="834"/>
      <c r="B78" s="179" t="s">
        <v>8</v>
      </c>
      <c r="C78" s="181" t="s">
        <v>7</v>
      </c>
      <c r="D78" s="198">
        <f t="shared" ref="D78:D88" si="18">SUM(G78,M78)</f>
        <v>4072847097.446733</v>
      </c>
      <c r="E78" s="199">
        <f t="shared" ref="E78:E88" si="19">SUM(H78,N78)</f>
        <v>39364647.306488298</v>
      </c>
      <c r="F78" s="188"/>
      <c r="G78" s="198">
        <v>4072847097.446733</v>
      </c>
      <c r="H78" s="199">
        <v>39364647.306488298</v>
      </c>
      <c r="I78" s="188"/>
      <c r="J78" s="188"/>
      <c r="K78" s="188"/>
      <c r="L78" s="188"/>
      <c r="M78" s="198">
        <f>'Allocation of "other" fuels'!E88</f>
        <v>0</v>
      </c>
      <c r="N78" s="199">
        <f>'Allocation of "other" fuels'!F88</f>
        <v>0</v>
      </c>
      <c r="O78" s="175"/>
    </row>
    <row r="79" spans="1:15" ht="14" customHeight="1">
      <c r="A79" s="834"/>
      <c r="B79" s="179" t="s">
        <v>8</v>
      </c>
      <c r="C79" s="182" t="s">
        <v>1</v>
      </c>
      <c r="D79" s="198">
        <f t="shared" si="18"/>
        <v>4775815709.7496958</v>
      </c>
      <c r="E79" s="199">
        <f t="shared" si="19"/>
        <v>35503602.558890589</v>
      </c>
      <c r="F79" s="188"/>
      <c r="G79" s="198">
        <v>4774566570.9897232</v>
      </c>
      <c r="H79" s="199">
        <v>35475037.751632869</v>
      </c>
      <c r="I79" s="188"/>
      <c r="J79" s="188"/>
      <c r="K79" s="188"/>
      <c r="L79" s="188"/>
      <c r="M79" s="198">
        <f>'Allocation of "other" fuels'!E89</f>
        <v>1249138.7599722089</v>
      </c>
      <c r="N79" s="199">
        <f>'Allocation of "other" fuels'!F89</f>
        <v>28564.807257721051</v>
      </c>
      <c r="O79" s="175"/>
    </row>
    <row r="80" spans="1:15" ht="14" customHeight="1">
      <c r="A80" s="834"/>
      <c r="B80" s="179" t="s">
        <v>8</v>
      </c>
      <c r="C80" s="183" t="s">
        <v>13</v>
      </c>
      <c r="D80" s="200">
        <f t="shared" si="18"/>
        <v>0</v>
      </c>
      <c r="E80" s="201">
        <f t="shared" si="19"/>
        <v>0</v>
      </c>
      <c r="F80" s="188"/>
      <c r="G80" s="200">
        <v>0</v>
      </c>
      <c r="H80" s="201">
        <v>0</v>
      </c>
      <c r="I80" s="188"/>
      <c r="J80" s="188"/>
      <c r="K80" s="188"/>
      <c r="L80" s="188"/>
      <c r="M80" s="200">
        <f>'Allocation of "other" fuels'!E90</f>
        <v>0</v>
      </c>
      <c r="N80" s="201">
        <f>'Allocation of "other" fuels'!F90</f>
        <v>0</v>
      </c>
      <c r="O80" s="175"/>
    </row>
    <row r="81" spans="1:15" ht="14" customHeight="1">
      <c r="A81" s="834"/>
      <c r="B81" s="184" t="s">
        <v>9</v>
      </c>
      <c r="C81" s="180" t="s">
        <v>0</v>
      </c>
      <c r="D81" s="198">
        <f t="shared" si="18"/>
        <v>337210924.08668405</v>
      </c>
      <c r="E81" s="199">
        <f t="shared" si="19"/>
        <v>265710964.31105265</v>
      </c>
      <c r="F81" s="188"/>
      <c r="G81" s="198">
        <v>295429654.88481277</v>
      </c>
      <c r="H81" s="199">
        <v>264755526.90091178</v>
      </c>
      <c r="I81" s="188"/>
      <c r="J81" s="188"/>
      <c r="K81" s="188"/>
      <c r="L81" s="188"/>
      <c r="M81" s="198">
        <f>'Allocation of "other" fuels'!E91</f>
        <v>41781269.201871291</v>
      </c>
      <c r="N81" s="199">
        <f>'Allocation of "other" fuels'!F91</f>
        <v>955437.41014085815</v>
      </c>
      <c r="O81" s="175"/>
    </row>
    <row r="82" spans="1:15" ht="14" customHeight="1">
      <c r="A82" s="834"/>
      <c r="B82" s="184" t="s">
        <v>9</v>
      </c>
      <c r="C82" s="181" t="s">
        <v>7</v>
      </c>
      <c r="D82" s="198">
        <f t="shared" si="18"/>
        <v>884605.36624458479</v>
      </c>
      <c r="E82" s="199">
        <f t="shared" si="19"/>
        <v>719092.64289215778</v>
      </c>
      <c r="F82" s="188"/>
      <c r="G82" s="198">
        <v>884605.36624458479</v>
      </c>
      <c r="H82" s="199">
        <v>719092.64289215778</v>
      </c>
      <c r="I82" s="188"/>
      <c r="J82" s="188"/>
      <c r="K82" s="188"/>
      <c r="L82" s="188"/>
      <c r="M82" s="198">
        <f>'Allocation of "other" fuels'!E92</f>
        <v>0</v>
      </c>
      <c r="N82" s="199">
        <f>'Allocation of "other" fuels'!F92</f>
        <v>0</v>
      </c>
      <c r="O82" s="175"/>
    </row>
    <row r="83" spans="1:15" ht="14" customHeight="1">
      <c r="A83" s="834"/>
      <c r="B83" s="184" t="s">
        <v>9</v>
      </c>
      <c r="C83" s="182" t="s">
        <v>1</v>
      </c>
      <c r="D83" s="198">
        <f t="shared" si="18"/>
        <v>2010471.7274830693</v>
      </c>
      <c r="E83" s="199">
        <f t="shared" si="19"/>
        <v>1628754.8579862507</v>
      </c>
      <c r="F83" s="188"/>
      <c r="G83" s="198">
        <v>2010471.7274830693</v>
      </c>
      <c r="H83" s="199">
        <v>1628754.8579862507</v>
      </c>
      <c r="I83" s="188"/>
      <c r="J83" s="188"/>
      <c r="K83" s="188"/>
      <c r="L83" s="188"/>
      <c r="M83" s="198">
        <f>'Allocation of "other" fuels'!E93</f>
        <v>0</v>
      </c>
      <c r="N83" s="199">
        <f>'Allocation of "other" fuels'!F93</f>
        <v>0</v>
      </c>
      <c r="O83" s="175"/>
    </row>
    <row r="84" spans="1:15" ht="14" customHeight="1">
      <c r="A84" s="834"/>
      <c r="B84" s="184" t="s">
        <v>9</v>
      </c>
      <c r="C84" s="183" t="s">
        <v>13</v>
      </c>
      <c r="D84" s="202">
        <f t="shared" si="18"/>
        <v>0</v>
      </c>
      <c r="E84" s="203">
        <f t="shared" si="19"/>
        <v>0</v>
      </c>
      <c r="F84" s="188"/>
      <c r="G84" s="202">
        <v>0</v>
      </c>
      <c r="H84" s="203">
        <v>0</v>
      </c>
      <c r="I84" s="188"/>
      <c r="J84" s="188"/>
      <c r="K84" s="188"/>
      <c r="L84" s="188"/>
      <c r="M84" s="202">
        <f>'Allocation of "other" fuels'!E94</f>
        <v>0</v>
      </c>
      <c r="N84" s="203">
        <f>'Allocation of "other" fuels'!F94</f>
        <v>0</v>
      </c>
      <c r="O84" s="175"/>
    </row>
    <row r="85" spans="1:15" ht="14" customHeight="1">
      <c r="A85" s="834"/>
      <c r="B85" s="185" t="s">
        <v>10</v>
      </c>
      <c r="C85" s="180" t="s">
        <v>0</v>
      </c>
      <c r="D85" s="198">
        <f t="shared" si="18"/>
        <v>158615706.57276896</v>
      </c>
      <c r="E85" s="199">
        <f t="shared" si="19"/>
        <v>107842593.50815932</v>
      </c>
      <c r="F85" s="188"/>
      <c r="G85" s="198">
        <v>140291840.9427501</v>
      </c>
      <c r="H85" s="199">
        <v>107423570.65280455</v>
      </c>
      <c r="I85" s="188"/>
      <c r="J85" s="188"/>
      <c r="K85" s="188"/>
      <c r="L85" s="188"/>
      <c r="M85" s="198">
        <f>'Allocation of "other" fuels'!E95</f>
        <v>18323865.630018868</v>
      </c>
      <c r="N85" s="199">
        <f>'Allocation of "other" fuels'!F95</f>
        <v>419022.85535476735</v>
      </c>
      <c r="O85" s="175"/>
    </row>
    <row r="86" spans="1:15" ht="14" customHeight="1">
      <c r="A86" s="834"/>
      <c r="B86" s="185" t="s">
        <v>10</v>
      </c>
      <c r="C86" s="181" t="s">
        <v>7</v>
      </c>
      <c r="D86" s="198">
        <f t="shared" si="18"/>
        <v>65339146.673366249</v>
      </c>
      <c r="E86" s="199">
        <f t="shared" si="19"/>
        <v>5667958.7249911474</v>
      </c>
      <c r="F86" s="188"/>
      <c r="G86" s="198">
        <v>65339146.673366249</v>
      </c>
      <c r="H86" s="199">
        <v>5667958.7249911474</v>
      </c>
      <c r="I86" s="188"/>
      <c r="J86" s="188"/>
      <c r="K86" s="188"/>
      <c r="L86" s="188"/>
      <c r="M86" s="198">
        <f>'Allocation of "other" fuels'!E96</f>
        <v>0</v>
      </c>
      <c r="N86" s="199">
        <f>'Allocation of "other" fuels'!F96</f>
        <v>0</v>
      </c>
      <c r="O86" s="175"/>
    </row>
    <row r="87" spans="1:15" ht="14" customHeight="1">
      <c r="A87" s="834"/>
      <c r="B87" s="185" t="s">
        <v>10</v>
      </c>
      <c r="C87" s="182" t="s">
        <v>1</v>
      </c>
      <c r="D87" s="198">
        <f t="shared" si="18"/>
        <v>76080920.527391091</v>
      </c>
      <c r="E87" s="199">
        <f t="shared" si="19"/>
        <v>5211883.1508015562</v>
      </c>
      <c r="F87" s="188"/>
      <c r="G87" s="198">
        <v>76080920.527391091</v>
      </c>
      <c r="H87" s="199">
        <v>5211883.1508015562</v>
      </c>
      <c r="I87" s="188"/>
      <c r="J87" s="188"/>
      <c r="K87" s="188"/>
      <c r="L87" s="188"/>
      <c r="M87" s="198">
        <f>'Allocation of "other" fuels'!E97</f>
        <v>0</v>
      </c>
      <c r="N87" s="199">
        <f>'Allocation of "other" fuels'!F97</f>
        <v>0</v>
      </c>
      <c r="O87" s="175"/>
    </row>
    <row r="88" spans="1:15" ht="14" customHeight="1">
      <c r="A88" s="834"/>
      <c r="B88" s="185" t="s">
        <v>10</v>
      </c>
      <c r="C88" s="183" t="s">
        <v>13</v>
      </c>
      <c r="D88" s="204">
        <f t="shared" si="18"/>
        <v>0</v>
      </c>
      <c r="E88" s="205">
        <f t="shared" si="19"/>
        <v>0</v>
      </c>
      <c r="F88" s="188"/>
      <c r="G88" s="204">
        <v>0</v>
      </c>
      <c r="H88" s="205">
        <v>0</v>
      </c>
      <c r="I88" s="188"/>
      <c r="J88" s="188"/>
      <c r="K88" s="188"/>
      <c r="L88" s="188"/>
      <c r="M88" s="204">
        <f>'Allocation of "other" fuels'!E98</f>
        <v>0</v>
      </c>
      <c r="N88" s="205">
        <f>'Allocation of "other" fuels'!F98</f>
        <v>0</v>
      </c>
      <c r="O88" s="175"/>
    </row>
    <row r="89" spans="1:15" ht="12" customHeight="1">
      <c r="A89" s="175"/>
      <c r="D89" s="843" t="s">
        <v>28</v>
      </c>
      <c r="E89" s="843"/>
      <c r="F89" s="188"/>
      <c r="G89" s="188"/>
      <c r="H89" s="188"/>
      <c r="I89" s="188"/>
      <c r="J89" s="188"/>
      <c r="K89" s="188"/>
      <c r="L89" s="188"/>
      <c r="M89" s="188"/>
      <c r="N89" s="188"/>
      <c r="O89" s="175"/>
    </row>
    <row r="90" spans="1:15" ht="14" customHeight="1">
      <c r="A90" s="834" t="s">
        <v>32</v>
      </c>
      <c r="B90" s="178" t="s">
        <v>761</v>
      </c>
      <c r="C90" s="178" t="s">
        <v>762</v>
      </c>
      <c r="D90" s="192" t="s">
        <v>208</v>
      </c>
      <c r="E90" s="193" t="s">
        <v>209</v>
      </c>
      <c r="F90" s="188"/>
      <c r="G90" s="188"/>
      <c r="H90" s="188"/>
      <c r="I90" s="188"/>
      <c r="J90" s="188"/>
      <c r="K90" s="188"/>
      <c r="L90" s="188"/>
      <c r="M90" s="188"/>
      <c r="N90" s="188"/>
      <c r="O90" s="175"/>
    </row>
    <row r="91" spans="1:15" ht="14" customHeight="1">
      <c r="A91" s="834"/>
      <c r="B91" s="179" t="s">
        <v>8</v>
      </c>
      <c r="C91" s="180" t="s">
        <v>0</v>
      </c>
      <c r="D91" s="198">
        <v>50837428804.422722</v>
      </c>
      <c r="E91" s="199">
        <v>1265487227.8093066</v>
      </c>
      <c r="F91" s="188"/>
      <c r="G91" s="188"/>
      <c r="H91" s="188"/>
      <c r="I91" s="188"/>
      <c r="J91" s="188"/>
      <c r="K91" s="188"/>
      <c r="L91" s="188"/>
      <c r="M91" s="188"/>
      <c r="N91" s="188"/>
      <c r="O91" s="175"/>
    </row>
    <row r="92" spans="1:15" ht="14" customHeight="1">
      <c r="A92" s="834"/>
      <c r="B92" s="179" t="s">
        <v>8</v>
      </c>
      <c r="C92" s="181" t="s">
        <v>7</v>
      </c>
      <c r="D92" s="198">
        <v>6649841490.8994093</v>
      </c>
      <c r="E92" s="199">
        <v>95946335.244906411</v>
      </c>
      <c r="F92" s="188"/>
      <c r="G92" s="188"/>
      <c r="H92" s="188"/>
      <c r="I92" s="188"/>
      <c r="J92" s="188"/>
      <c r="K92" s="188"/>
      <c r="L92" s="188"/>
      <c r="M92" s="188"/>
      <c r="N92" s="188"/>
      <c r="O92" s="175"/>
    </row>
    <row r="93" spans="1:15" ht="14" customHeight="1">
      <c r="A93" s="834"/>
      <c r="B93" s="179" t="s">
        <v>8</v>
      </c>
      <c r="C93" s="182" t="s">
        <v>1</v>
      </c>
      <c r="D93" s="198">
        <v>12168622046.057131</v>
      </c>
      <c r="E93" s="199">
        <v>116560451.91156007</v>
      </c>
      <c r="F93" s="188"/>
      <c r="G93" s="188"/>
      <c r="H93" s="188"/>
      <c r="I93" s="188"/>
      <c r="J93" s="188"/>
      <c r="K93" s="188"/>
      <c r="L93" s="188"/>
      <c r="M93" s="188"/>
      <c r="N93" s="188"/>
      <c r="O93" s="175"/>
    </row>
    <row r="94" spans="1:15" ht="14" customHeight="1">
      <c r="A94" s="834"/>
      <c r="B94" s="179" t="s">
        <v>8</v>
      </c>
      <c r="C94" s="183" t="s">
        <v>13</v>
      </c>
      <c r="D94" s="200">
        <v>0</v>
      </c>
      <c r="E94" s="201">
        <v>0</v>
      </c>
      <c r="F94" s="188"/>
      <c r="G94" s="188"/>
      <c r="H94" s="188"/>
      <c r="I94" s="188"/>
      <c r="J94" s="188"/>
      <c r="K94" s="188"/>
      <c r="L94" s="188"/>
      <c r="M94" s="188"/>
      <c r="N94" s="188"/>
      <c r="O94" s="175"/>
    </row>
    <row r="95" spans="1:15" ht="14" customHeight="1">
      <c r="A95" s="834"/>
      <c r="B95" s="184" t="s">
        <v>9</v>
      </c>
      <c r="C95" s="180" t="s">
        <v>0</v>
      </c>
      <c r="D95" s="198">
        <v>47932569.345950566</v>
      </c>
      <c r="E95" s="199">
        <v>32330037.404224895</v>
      </c>
      <c r="F95" s="188"/>
      <c r="G95" s="188"/>
      <c r="H95" s="188"/>
      <c r="I95" s="188"/>
      <c r="J95" s="188"/>
      <c r="K95" s="188"/>
      <c r="L95" s="188"/>
      <c r="M95" s="188"/>
      <c r="N95" s="188"/>
      <c r="O95" s="175"/>
    </row>
    <row r="96" spans="1:15" ht="14" customHeight="1">
      <c r="A96" s="834"/>
      <c r="B96" s="184" t="s">
        <v>9</v>
      </c>
      <c r="C96" s="181" t="s">
        <v>7</v>
      </c>
      <c r="D96" s="198">
        <v>0</v>
      </c>
      <c r="E96" s="199">
        <v>0</v>
      </c>
      <c r="F96" s="188"/>
      <c r="G96" s="188"/>
      <c r="H96" s="188"/>
      <c r="I96" s="188"/>
      <c r="J96" s="188"/>
      <c r="K96" s="188"/>
      <c r="L96" s="188"/>
      <c r="M96" s="188"/>
      <c r="N96" s="188"/>
      <c r="O96" s="175"/>
    </row>
    <row r="97" spans="1:15" ht="14" customHeight="1">
      <c r="A97" s="834"/>
      <c r="B97" s="184" t="s">
        <v>9</v>
      </c>
      <c r="C97" s="182" t="s">
        <v>1</v>
      </c>
      <c r="D97" s="198">
        <v>0</v>
      </c>
      <c r="E97" s="199">
        <v>0</v>
      </c>
      <c r="F97" s="188"/>
      <c r="G97" s="188"/>
      <c r="H97" s="188"/>
      <c r="I97" s="188"/>
      <c r="J97" s="188"/>
      <c r="K97" s="188"/>
      <c r="L97" s="188"/>
      <c r="M97" s="188"/>
      <c r="N97" s="188"/>
      <c r="O97" s="175"/>
    </row>
    <row r="98" spans="1:15" ht="14" customHeight="1">
      <c r="A98" s="834"/>
      <c r="B98" s="184" t="s">
        <v>9</v>
      </c>
      <c r="C98" s="183" t="s">
        <v>13</v>
      </c>
      <c r="D98" s="202">
        <v>0</v>
      </c>
      <c r="E98" s="203">
        <v>0</v>
      </c>
      <c r="F98" s="188"/>
      <c r="G98" s="188"/>
      <c r="H98" s="188"/>
      <c r="I98" s="188"/>
      <c r="J98" s="188"/>
      <c r="K98" s="188"/>
      <c r="L98" s="188"/>
      <c r="M98" s="188"/>
      <c r="N98" s="188"/>
      <c r="O98" s="175"/>
    </row>
    <row r="99" spans="1:15" ht="14" customHeight="1">
      <c r="A99" s="834"/>
      <c r="B99" s="185" t="s">
        <v>10</v>
      </c>
      <c r="C99" s="180" t="s">
        <v>0</v>
      </c>
      <c r="D99" s="198">
        <v>647867802.42338204</v>
      </c>
      <c r="E99" s="199">
        <v>104519801.20617837</v>
      </c>
      <c r="F99" s="188"/>
      <c r="G99" s="188"/>
      <c r="H99" s="188"/>
      <c r="I99" s="188"/>
      <c r="J99" s="188"/>
      <c r="K99" s="188"/>
      <c r="L99" s="188"/>
      <c r="M99" s="188"/>
      <c r="N99" s="188"/>
      <c r="O99" s="175"/>
    </row>
    <row r="100" spans="1:15" ht="14" customHeight="1">
      <c r="A100" s="834"/>
      <c r="B100" s="185" t="s">
        <v>10</v>
      </c>
      <c r="C100" s="181" t="s">
        <v>7</v>
      </c>
      <c r="D100" s="198">
        <v>84665178.292193621</v>
      </c>
      <c r="E100" s="199">
        <v>7727044.5963815982</v>
      </c>
      <c r="F100" s="188"/>
      <c r="G100" s="188"/>
      <c r="H100" s="188"/>
      <c r="I100" s="188"/>
      <c r="J100" s="188"/>
      <c r="K100" s="188"/>
      <c r="L100" s="188"/>
      <c r="M100" s="188"/>
      <c r="N100" s="188"/>
      <c r="O100" s="175"/>
    </row>
    <row r="101" spans="1:15" ht="14" customHeight="1">
      <c r="A101" s="834"/>
      <c r="B101" s="185" t="s">
        <v>10</v>
      </c>
      <c r="C101" s="182" t="s">
        <v>1</v>
      </c>
      <c r="D101" s="198">
        <v>154929791.41077235</v>
      </c>
      <c r="E101" s="199">
        <v>9387203.8759586923</v>
      </c>
      <c r="F101" s="188"/>
      <c r="G101" s="188"/>
      <c r="H101" s="188"/>
      <c r="I101" s="188"/>
      <c r="J101" s="188"/>
      <c r="K101" s="188"/>
      <c r="L101" s="188"/>
      <c r="M101" s="188"/>
      <c r="N101" s="188"/>
      <c r="O101" s="175"/>
    </row>
    <row r="102" spans="1:15" ht="14" customHeight="1">
      <c r="A102" s="834"/>
      <c r="B102" s="185" t="s">
        <v>10</v>
      </c>
      <c r="C102" s="183" t="s">
        <v>13</v>
      </c>
      <c r="D102" s="204">
        <v>0</v>
      </c>
      <c r="E102" s="205">
        <v>0</v>
      </c>
      <c r="F102" s="188"/>
      <c r="G102" s="188"/>
      <c r="H102" s="188"/>
      <c r="I102" s="188"/>
      <c r="J102" s="188"/>
      <c r="K102" s="188"/>
      <c r="L102" s="188"/>
      <c r="M102" s="188"/>
      <c r="N102" s="188"/>
      <c r="O102" s="175"/>
    </row>
    <row r="103" spans="1:15" ht="15" customHeight="1">
      <c r="A103" s="175"/>
      <c r="D103" s="842" t="s">
        <v>385</v>
      </c>
      <c r="E103" s="842"/>
      <c r="F103" s="188"/>
      <c r="G103" s="826" t="s">
        <v>852</v>
      </c>
      <c r="H103" s="826"/>
      <c r="I103" s="188"/>
      <c r="J103" s="188"/>
      <c r="K103" s="188"/>
      <c r="L103" s="188"/>
      <c r="M103" s="832" t="s">
        <v>851</v>
      </c>
      <c r="N103" s="832"/>
      <c r="O103" s="175"/>
    </row>
    <row r="104" spans="1:15" ht="14" customHeight="1">
      <c r="A104" s="834" t="s">
        <v>32</v>
      </c>
      <c r="B104" s="178" t="s">
        <v>761</v>
      </c>
      <c r="C104" s="178" t="s">
        <v>762</v>
      </c>
      <c r="D104" s="192" t="s">
        <v>208</v>
      </c>
      <c r="E104" s="193" t="s">
        <v>209</v>
      </c>
      <c r="F104" s="188"/>
      <c r="G104" s="192" t="s">
        <v>208</v>
      </c>
      <c r="H104" s="193" t="s">
        <v>209</v>
      </c>
      <c r="I104" s="188"/>
      <c r="J104" s="188"/>
      <c r="K104" s="188"/>
      <c r="L104" s="188"/>
      <c r="M104" s="192" t="s">
        <v>208</v>
      </c>
      <c r="N104" s="193" t="s">
        <v>209</v>
      </c>
      <c r="O104" s="175"/>
    </row>
    <row r="105" spans="1:15" ht="14" customHeight="1">
      <c r="A105" s="834"/>
      <c r="B105" s="179" t="s">
        <v>8</v>
      </c>
      <c r="C105" s="180" t="s">
        <v>0</v>
      </c>
      <c r="D105" s="198">
        <f>SUM(G105,M105)</f>
        <v>4031722534.1416721</v>
      </c>
      <c r="E105" s="199">
        <f>SUM(H105,N105)</f>
        <v>80662172.814083204</v>
      </c>
      <c r="F105" s="188"/>
      <c r="G105" s="198">
        <v>4020407684.9231453</v>
      </c>
      <c r="H105" s="199">
        <v>80403429.352240264</v>
      </c>
      <c r="I105" s="188"/>
      <c r="J105" s="188"/>
      <c r="K105" s="188"/>
      <c r="L105" s="188"/>
      <c r="M105" s="198">
        <f>'Allocation of "other" fuels'!K87</f>
        <v>11314849.218527012</v>
      </c>
      <c r="N105" s="199">
        <f>'Allocation of "other" fuels'!L87</f>
        <v>258743.46184293454</v>
      </c>
      <c r="O105" s="175"/>
    </row>
    <row r="106" spans="1:15" ht="14" customHeight="1">
      <c r="A106" s="834"/>
      <c r="B106" s="179" t="s">
        <v>8</v>
      </c>
      <c r="C106" s="181" t="s">
        <v>7</v>
      </c>
      <c r="D106" s="198">
        <f t="shared" ref="D106:D116" si="20">SUM(G106,M106)</f>
        <v>53360309.539437197</v>
      </c>
      <c r="E106" s="199">
        <f t="shared" ref="E106:E116" si="21">SUM(H106,N106)</f>
        <v>321520.1003773163</v>
      </c>
      <c r="F106" s="188"/>
      <c r="G106" s="198">
        <v>53360309.539437197</v>
      </c>
      <c r="H106" s="199">
        <v>321520.1003773163</v>
      </c>
      <c r="I106" s="188"/>
      <c r="J106" s="188"/>
      <c r="K106" s="188"/>
      <c r="L106" s="188"/>
      <c r="M106" s="198">
        <f>'Allocation of "other" fuels'!K88</f>
        <v>0</v>
      </c>
      <c r="N106" s="199">
        <f>'Allocation of "other" fuels'!L88</f>
        <v>0</v>
      </c>
      <c r="O106" s="175"/>
    </row>
    <row r="107" spans="1:15" ht="14" customHeight="1">
      <c r="A107" s="834"/>
      <c r="B107" s="179" t="s">
        <v>8</v>
      </c>
      <c r="C107" s="182" t="s">
        <v>1</v>
      </c>
      <c r="D107" s="198">
        <f t="shared" si="20"/>
        <v>63619659.589343347</v>
      </c>
      <c r="E107" s="199">
        <f t="shared" si="21"/>
        <v>432478.17268332129</v>
      </c>
      <c r="F107" s="188"/>
      <c r="G107" s="198">
        <v>63619659.589343347</v>
      </c>
      <c r="H107" s="199">
        <v>432478.17268332129</v>
      </c>
      <c r="I107" s="188"/>
      <c r="J107" s="188"/>
      <c r="K107" s="188"/>
      <c r="L107" s="188"/>
      <c r="M107" s="198">
        <f>'Allocation of "other" fuels'!K89</f>
        <v>0</v>
      </c>
      <c r="N107" s="199">
        <f>'Allocation of "other" fuels'!L89</f>
        <v>0</v>
      </c>
      <c r="O107" s="175"/>
    </row>
    <row r="108" spans="1:15" ht="14" customHeight="1">
      <c r="A108" s="834"/>
      <c r="B108" s="179" t="s">
        <v>8</v>
      </c>
      <c r="C108" s="183" t="s">
        <v>13</v>
      </c>
      <c r="D108" s="200">
        <f t="shared" si="20"/>
        <v>0</v>
      </c>
      <c r="E108" s="201">
        <f t="shared" si="21"/>
        <v>0</v>
      </c>
      <c r="F108" s="188"/>
      <c r="G108" s="200">
        <v>0</v>
      </c>
      <c r="H108" s="201">
        <v>0</v>
      </c>
      <c r="I108" s="188"/>
      <c r="J108" s="188"/>
      <c r="K108" s="188"/>
      <c r="L108" s="188"/>
      <c r="M108" s="200">
        <f>'Allocation of "other" fuels'!K90</f>
        <v>0</v>
      </c>
      <c r="N108" s="201">
        <f>'Allocation of "other" fuels'!L90</f>
        <v>0</v>
      </c>
      <c r="O108" s="175"/>
    </row>
    <row r="109" spans="1:15" ht="14" customHeight="1">
      <c r="A109" s="834"/>
      <c r="B109" s="184" t="s">
        <v>9</v>
      </c>
      <c r="C109" s="180" t="s">
        <v>0</v>
      </c>
      <c r="D109" s="198">
        <f t="shared" si="20"/>
        <v>41136102.058837585</v>
      </c>
      <c r="E109" s="199">
        <f t="shared" si="21"/>
        <v>21169101.153522465</v>
      </c>
      <c r="F109" s="188"/>
      <c r="G109" s="198">
        <v>30167612.933862664</v>
      </c>
      <c r="H109" s="199">
        <v>20918278.116240133</v>
      </c>
      <c r="I109" s="188"/>
      <c r="J109" s="188"/>
      <c r="K109" s="188"/>
      <c r="L109" s="188"/>
      <c r="M109" s="198">
        <f>'Allocation of "other" fuels'!K91</f>
        <v>10968489.124974923</v>
      </c>
      <c r="N109" s="199">
        <f>'Allocation of "other" fuels'!L91</f>
        <v>250823.03728233426</v>
      </c>
      <c r="O109" s="175"/>
    </row>
    <row r="110" spans="1:15" ht="14" customHeight="1">
      <c r="A110" s="834"/>
      <c r="B110" s="184" t="s">
        <v>9</v>
      </c>
      <c r="C110" s="181" t="s">
        <v>7</v>
      </c>
      <c r="D110" s="198">
        <f t="shared" si="20"/>
        <v>29991.142774405937</v>
      </c>
      <c r="E110" s="199">
        <f t="shared" si="21"/>
        <v>20736.152755800867</v>
      </c>
      <c r="F110" s="188"/>
      <c r="G110" s="198">
        <v>29991.142774405937</v>
      </c>
      <c r="H110" s="199">
        <v>20736.152755800867</v>
      </c>
      <c r="I110" s="188"/>
      <c r="J110" s="188"/>
      <c r="K110" s="188"/>
      <c r="L110" s="188"/>
      <c r="M110" s="198">
        <f>'Allocation of "other" fuels'!K92</f>
        <v>0</v>
      </c>
      <c r="N110" s="199">
        <f>'Allocation of "other" fuels'!L92</f>
        <v>0</v>
      </c>
      <c r="O110" s="175"/>
    </row>
    <row r="111" spans="1:15" ht="14" customHeight="1">
      <c r="A111" s="834"/>
      <c r="B111" s="184" t="s">
        <v>9</v>
      </c>
      <c r="C111" s="182" t="s">
        <v>1</v>
      </c>
      <c r="D111" s="198">
        <f t="shared" si="20"/>
        <v>0</v>
      </c>
      <c r="E111" s="199">
        <f t="shared" si="21"/>
        <v>0</v>
      </c>
      <c r="F111" s="188"/>
      <c r="G111" s="198">
        <v>0</v>
      </c>
      <c r="H111" s="199">
        <v>0</v>
      </c>
      <c r="I111" s="188"/>
      <c r="J111" s="188"/>
      <c r="K111" s="188"/>
      <c r="L111" s="188"/>
      <c r="M111" s="198">
        <f>'Allocation of "other" fuels'!K93</f>
        <v>0</v>
      </c>
      <c r="N111" s="199">
        <f>'Allocation of "other" fuels'!L93</f>
        <v>0</v>
      </c>
      <c r="O111" s="175"/>
    </row>
    <row r="112" spans="1:15" ht="14" customHeight="1">
      <c r="A112" s="834"/>
      <c r="B112" s="184" t="s">
        <v>9</v>
      </c>
      <c r="C112" s="183" t="s">
        <v>13</v>
      </c>
      <c r="D112" s="202">
        <f t="shared" si="20"/>
        <v>0</v>
      </c>
      <c r="E112" s="203">
        <f t="shared" si="21"/>
        <v>0</v>
      </c>
      <c r="F112" s="188"/>
      <c r="G112" s="202">
        <v>0</v>
      </c>
      <c r="H112" s="203">
        <v>0</v>
      </c>
      <c r="I112" s="188"/>
      <c r="J112" s="188"/>
      <c r="K112" s="188"/>
      <c r="L112" s="188"/>
      <c r="M112" s="202">
        <f>'Allocation of "other" fuels'!K94</f>
        <v>0</v>
      </c>
      <c r="N112" s="203">
        <f>'Allocation of "other" fuels'!L94</f>
        <v>0</v>
      </c>
      <c r="O112" s="175"/>
    </row>
    <row r="113" spans="1:15" ht="14" customHeight="1">
      <c r="A113" s="834"/>
      <c r="B113" s="185" t="s">
        <v>10</v>
      </c>
      <c r="C113" s="180" t="s">
        <v>0</v>
      </c>
      <c r="D113" s="198">
        <f t="shared" si="20"/>
        <v>98496995.076333016</v>
      </c>
      <c r="E113" s="199">
        <f t="shared" si="21"/>
        <v>3849303.8220229181</v>
      </c>
      <c r="F113" s="188"/>
      <c r="G113" s="198">
        <v>98496995.076333016</v>
      </c>
      <c r="H113" s="199">
        <v>3849303.8220229181</v>
      </c>
      <c r="I113" s="188"/>
      <c r="J113" s="188"/>
      <c r="K113" s="188"/>
      <c r="L113" s="188"/>
      <c r="M113" s="198">
        <f>'Allocation of "other" fuels'!K95</f>
        <v>0</v>
      </c>
      <c r="N113" s="199">
        <f>'Allocation of "other" fuels'!L95</f>
        <v>0</v>
      </c>
      <c r="O113" s="175"/>
    </row>
    <row r="114" spans="1:15" ht="14" customHeight="1">
      <c r="A114" s="834"/>
      <c r="B114" s="185" t="s">
        <v>10</v>
      </c>
      <c r="C114" s="181" t="s">
        <v>7</v>
      </c>
      <c r="D114" s="198">
        <f t="shared" si="20"/>
        <v>1298280.811173154</v>
      </c>
      <c r="E114" s="199">
        <f t="shared" si="21"/>
        <v>13002.626349406803</v>
      </c>
      <c r="F114" s="188"/>
      <c r="G114" s="198">
        <v>1298280.811173154</v>
      </c>
      <c r="H114" s="199">
        <v>13002.626349406803</v>
      </c>
      <c r="I114" s="188"/>
      <c r="J114" s="188"/>
      <c r="K114" s="188"/>
      <c r="L114" s="188"/>
      <c r="M114" s="198">
        <f>'Allocation of "other" fuels'!K96</f>
        <v>0</v>
      </c>
      <c r="N114" s="199">
        <f>'Allocation of "other" fuels'!L96</f>
        <v>0</v>
      </c>
      <c r="O114" s="175"/>
    </row>
    <row r="115" spans="1:15" ht="14" customHeight="1">
      <c r="A115" s="834"/>
      <c r="B115" s="185" t="s">
        <v>10</v>
      </c>
      <c r="C115" s="182" t="s">
        <v>1</v>
      </c>
      <c r="D115" s="198">
        <f t="shared" si="20"/>
        <v>1547025.9991574036</v>
      </c>
      <c r="E115" s="199">
        <f t="shared" si="21"/>
        <v>16430.23913280647</v>
      </c>
      <c r="F115" s="188"/>
      <c r="G115" s="198">
        <v>1547025.9991574036</v>
      </c>
      <c r="H115" s="199">
        <v>16430.23913280647</v>
      </c>
      <c r="I115" s="188"/>
      <c r="J115" s="188"/>
      <c r="K115" s="188"/>
      <c r="L115" s="188"/>
      <c r="M115" s="198">
        <f>'Allocation of "other" fuels'!K97</f>
        <v>0</v>
      </c>
      <c r="N115" s="199">
        <f>'Allocation of "other" fuels'!L97</f>
        <v>0</v>
      </c>
      <c r="O115" s="175"/>
    </row>
    <row r="116" spans="1:15" ht="14" customHeight="1">
      <c r="A116" s="834"/>
      <c r="B116" s="185" t="s">
        <v>10</v>
      </c>
      <c r="C116" s="183" t="s">
        <v>13</v>
      </c>
      <c r="D116" s="204">
        <f t="shared" si="20"/>
        <v>0</v>
      </c>
      <c r="E116" s="205">
        <f t="shared" si="21"/>
        <v>0</v>
      </c>
      <c r="F116" s="188"/>
      <c r="G116" s="204">
        <v>0</v>
      </c>
      <c r="H116" s="205">
        <v>0</v>
      </c>
      <c r="I116" s="188"/>
      <c r="J116" s="188"/>
      <c r="K116" s="188"/>
      <c r="L116" s="188"/>
      <c r="M116" s="204">
        <f>'Allocation of "other" fuels'!K98</f>
        <v>0</v>
      </c>
      <c r="N116" s="205">
        <f>'Allocation of "other" fuels'!L98</f>
        <v>0</v>
      </c>
      <c r="O116" s="175"/>
    </row>
    <row r="117" spans="1:15" ht="15" customHeight="1">
      <c r="A117" s="175"/>
      <c r="D117" s="841" t="s">
        <v>374</v>
      </c>
      <c r="E117" s="841"/>
      <c r="F117" s="188"/>
      <c r="G117" s="188"/>
      <c r="H117" s="188"/>
      <c r="I117" s="188"/>
      <c r="J117" s="188"/>
      <c r="K117" s="188"/>
      <c r="L117" s="188"/>
      <c r="M117" s="188"/>
      <c r="N117" s="188"/>
      <c r="O117" s="175"/>
    </row>
    <row r="118" spans="1:15" ht="14" customHeight="1">
      <c r="A118" s="834" t="s">
        <v>32</v>
      </c>
      <c r="B118" s="178" t="s">
        <v>761</v>
      </c>
      <c r="C118" s="178" t="s">
        <v>762</v>
      </c>
      <c r="D118" s="192" t="s">
        <v>208</v>
      </c>
      <c r="E118" s="193" t="s">
        <v>209</v>
      </c>
      <c r="F118" s="188"/>
      <c r="G118" s="188"/>
      <c r="H118" s="188"/>
      <c r="I118" s="188"/>
      <c r="J118" s="188"/>
      <c r="K118" s="188"/>
      <c r="L118" s="188"/>
      <c r="M118" s="188"/>
      <c r="N118" s="188"/>
      <c r="O118" s="175"/>
    </row>
    <row r="119" spans="1:15" ht="14" customHeight="1">
      <c r="A119" s="834"/>
      <c r="B119" s="179" t="s">
        <v>8</v>
      </c>
      <c r="C119" s="180" t="s">
        <v>0</v>
      </c>
      <c r="D119" s="198">
        <v>102179700.93542401</v>
      </c>
      <c r="E119" s="199">
        <v>2056086.4569710356</v>
      </c>
      <c r="F119" s="188"/>
      <c r="G119" s="188"/>
      <c r="H119" s="188"/>
      <c r="I119" s="188"/>
      <c r="J119" s="188"/>
      <c r="K119" s="188"/>
      <c r="L119" s="188"/>
      <c r="M119" s="188"/>
      <c r="N119" s="188"/>
      <c r="O119" s="175"/>
    </row>
    <row r="120" spans="1:15" ht="14" customHeight="1">
      <c r="A120" s="834"/>
      <c r="B120" s="179" t="s">
        <v>8</v>
      </c>
      <c r="C120" s="181" t="s">
        <v>7</v>
      </c>
      <c r="D120" s="198">
        <v>0</v>
      </c>
      <c r="E120" s="199">
        <v>0</v>
      </c>
      <c r="F120" s="188"/>
      <c r="G120" s="188"/>
      <c r="H120" s="188"/>
      <c r="I120" s="188"/>
      <c r="J120" s="188"/>
      <c r="K120" s="188"/>
      <c r="L120" s="188"/>
      <c r="M120" s="188"/>
      <c r="N120" s="188"/>
      <c r="O120" s="175"/>
    </row>
    <row r="121" spans="1:15" ht="14" customHeight="1">
      <c r="A121" s="834"/>
      <c r="B121" s="179" t="s">
        <v>8</v>
      </c>
      <c r="C121" s="182" t="s">
        <v>1</v>
      </c>
      <c r="D121" s="198">
        <v>0</v>
      </c>
      <c r="E121" s="199">
        <v>0</v>
      </c>
      <c r="F121" s="188"/>
      <c r="G121" s="188"/>
      <c r="H121" s="188"/>
      <c r="I121" s="188"/>
      <c r="J121" s="188"/>
      <c r="K121" s="188"/>
      <c r="L121" s="188"/>
      <c r="M121" s="188"/>
      <c r="N121" s="188"/>
      <c r="O121" s="175"/>
    </row>
    <row r="122" spans="1:15" ht="14" customHeight="1">
      <c r="A122" s="834"/>
      <c r="B122" s="179" t="s">
        <v>8</v>
      </c>
      <c r="C122" s="183" t="s">
        <v>13</v>
      </c>
      <c r="D122" s="200">
        <v>0</v>
      </c>
      <c r="E122" s="201">
        <v>0</v>
      </c>
      <c r="F122" s="188"/>
      <c r="G122" s="188"/>
      <c r="H122" s="188"/>
      <c r="I122" s="188"/>
      <c r="J122" s="188"/>
      <c r="K122" s="188"/>
      <c r="L122" s="188"/>
      <c r="M122" s="188"/>
      <c r="N122" s="188"/>
      <c r="O122" s="175"/>
    </row>
    <row r="123" spans="1:15" ht="14" customHeight="1">
      <c r="A123" s="834"/>
      <c r="B123" s="184" t="s">
        <v>9</v>
      </c>
      <c r="C123" s="180" t="s">
        <v>0</v>
      </c>
      <c r="D123" s="198">
        <v>821921.20736632054</v>
      </c>
      <c r="E123" s="199">
        <v>426838.04836041294</v>
      </c>
      <c r="F123" s="188"/>
      <c r="G123" s="188"/>
      <c r="H123" s="188"/>
      <c r="I123" s="188"/>
      <c r="J123" s="188"/>
      <c r="K123" s="188"/>
      <c r="L123" s="188"/>
      <c r="M123" s="188"/>
      <c r="N123" s="188"/>
      <c r="O123" s="175"/>
    </row>
    <row r="124" spans="1:15" ht="14" customHeight="1">
      <c r="A124" s="834"/>
      <c r="B124" s="184" t="s">
        <v>9</v>
      </c>
      <c r="C124" s="181" t="s">
        <v>7</v>
      </c>
      <c r="D124" s="198">
        <v>0</v>
      </c>
      <c r="E124" s="199">
        <v>0</v>
      </c>
      <c r="F124" s="188"/>
      <c r="G124" s="188"/>
      <c r="H124" s="188"/>
      <c r="I124" s="188"/>
      <c r="J124" s="188"/>
      <c r="K124" s="188"/>
      <c r="L124" s="188"/>
      <c r="M124" s="188"/>
      <c r="N124" s="188"/>
      <c r="O124" s="175"/>
    </row>
    <row r="125" spans="1:15" ht="14" customHeight="1">
      <c r="A125" s="834"/>
      <c r="B125" s="184" t="s">
        <v>9</v>
      </c>
      <c r="C125" s="182" t="s">
        <v>1</v>
      </c>
      <c r="D125" s="198">
        <v>0</v>
      </c>
      <c r="E125" s="199">
        <v>0</v>
      </c>
      <c r="F125" s="188"/>
      <c r="G125" s="188"/>
      <c r="H125" s="188"/>
      <c r="I125" s="188"/>
      <c r="J125" s="188"/>
      <c r="K125" s="188"/>
      <c r="L125" s="188"/>
      <c r="M125" s="188"/>
      <c r="N125" s="188"/>
      <c r="O125" s="175"/>
    </row>
    <row r="126" spans="1:15" ht="14" customHeight="1">
      <c r="A126" s="834"/>
      <c r="B126" s="184" t="s">
        <v>9</v>
      </c>
      <c r="C126" s="183" t="s">
        <v>13</v>
      </c>
      <c r="D126" s="202">
        <v>0</v>
      </c>
      <c r="E126" s="203">
        <v>0</v>
      </c>
      <c r="F126" s="188"/>
      <c r="G126" s="188"/>
      <c r="H126" s="188"/>
      <c r="I126" s="188"/>
      <c r="J126" s="188"/>
      <c r="K126" s="188"/>
      <c r="L126" s="188"/>
      <c r="M126" s="188"/>
      <c r="N126" s="188"/>
      <c r="O126" s="175"/>
    </row>
    <row r="127" spans="1:15" ht="14" customHeight="1">
      <c r="A127" s="834"/>
      <c r="B127" s="185" t="s">
        <v>10</v>
      </c>
      <c r="C127" s="180" t="s">
        <v>0</v>
      </c>
      <c r="D127" s="198">
        <v>519512.51673063729</v>
      </c>
      <c r="E127" s="199">
        <v>295631.63687578571</v>
      </c>
      <c r="F127" s="188"/>
      <c r="G127" s="188"/>
      <c r="H127" s="188"/>
      <c r="I127" s="188"/>
      <c r="J127" s="188"/>
      <c r="K127" s="188"/>
      <c r="L127" s="188"/>
      <c r="M127" s="188"/>
      <c r="N127" s="188"/>
      <c r="O127" s="175"/>
    </row>
    <row r="128" spans="1:15" ht="14" customHeight="1">
      <c r="A128" s="834"/>
      <c r="B128" s="185" t="s">
        <v>10</v>
      </c>
      <c r="C128" s="181" t="s">
        <v>7</v>
      </c>
      <c r="D128" s="198">
        <v>0</v>
      </c>
      <c r="E128" s="199">
        <v>0</v>
      </c>
      <c r="F128" s="188"/>
      <c r="G128" s="188"/>
      <c r="H128" s="188"/>
      <c r="I128" s="188"/>
      <c r="J128" s="188"/>
      <c r="K128" s="188"/>
      <c r="L128" s="188"/>
      <c r="M128" s="188"/>
      <c r="N128" s="188"/>
      <c r="O128" s="175"/>
    </row>
    <row r="129" spans="1:15" ht="14" customHeight="1">
      <c r="A129" s="834"/>
      <c r="B129" s="185" t="s">
        <v>10</v>
      </c>
      <c r="C129" s="182" t="s">
        <v>1</v>
      </c>
      <c r="D129" s="198">
        <v>0</v>
      </c>
      <c r="E129" s="199">
        <v>0</v>
      </c>
      <c r="F129" s="188"/>
      <c r="G129" s="188"/>
      <c r="H129" s="188"/>
      <c r="I129" s="188"/>
      <c r="J129" s="188"/>
      <c r="K129" s="188"/>
      <c r="L129" s="188"/>
      <c r="M129" s="188"/>
      <c r="N129" s="188"/>
      <c r="O129" s="175"/>
    </row>
    <row r="130" spans="1:15" ht="14" customHeight="1">
      <c r="A130" s="834"/>
      <c r="B130" s="185" t="s">
        <v>10</v>
      </c>
      <c r="C130" s="183" t="s">
        <v>13</v>
      </c>
      <c r="D130" s="204">
        <v>0</v>
      </c>
      <c r="E130" s="205">
        <v>0</v>
      </c>
      <c r="F130" s="188"/>
      <c r="G130" s="188"/>
      <c r="H130" s="188"/>
      <c r="I130" s="188"/>
      <c r="J130" s="188"/>
      <c r="K130" s="188"/>
      <c r="L130" s="188"/>
      <c r="M130" s="188"/>
      <c r="N130" s="188"/>
      <c r="O130" s="175"/>
    </row>
    <row r="131" spans="1:15" ht="15" customHeight="1">
      <c r="A131" s="175"/>
      <c r="D131" s="840" t="s">
        <v>6</v>
      </c>
      <c r="E131" s="840"/>
      <c r="F131" s="188"/>
      <c r="G131" s="826" t="s">
        <v>852</v>
      </c>
      <c r="H131" s="826"/>
      <c r="I131" s="188"/>
      <c r="J131" s="826" t="s">
        <v>853</v>
      </c>
      <c r="K131" s="826"/>
      <c r="L131" s="188"/>
      <c r="M131" s="188"/>
      <c r="N131" s="188"/>
      <c r="O131" s="175"/>
    </row>
    <row r="132" spans="1:15" ht="14" customHeight="1">
      <c r="A132" s="834" t="s">
        <v>32</v>
      </c>
      <c r="B132" s="178" t="s">
        <v>761</v>
      </c>
      <c r="C132" s="178" t="s">
        <v>762</v>
      </c>
      <c r="D132" s="192" t="s">
        <v>208</v>
      </c>
      <c r="E132" s="193" t="s">
        <v>209</v>
      </c>
      <c r="F132" s="188"/>
      <c r="G132" s="192" t="s">
        <v>208</v>
      </c>
      <c r="H132" s="193" t="s">
        <v>209</v>
      </c>
      <c r="I132" s="188"/>
      <c r="J132" s="192" t="s">
        <v>208</v>
      </c>
      <c r="K132" s="193" t="s">
        <v>209</v>
      </c>
      <c r="L132" s="188"/>
      <c r="M132" s="188"/>
      <c r="N132" s="188"/>
      <c r="O132" s="175"/>
    </row>
    <row r="133" spans="1:15" ht="14" customHeight="1">
      <c r="A133" s="834"/>
      <c r="B133" s="179" t="s">
        <v>8</v>
      </c>
      <c r="C133" s="180" t="s">
        <v>0</v>
      </c>
      <c r="D133" s="198">
        <f>SUM(G133,J133)</f>
        <v>6226216.2786999997</v>
      </c>
      <c r="E133" s="199">
        <f>SUM(H133,K133)</f>
        <v>6226216.2786999997</v>
      </c>
      <c r="F133" s="188"/>
      <c r="G133" s="198">
        <f>813559.0077+5412657.271</f>
        <v>6226216.2786999997</v>
      </c>
      <c r="H133" s="199">
        <f>G133</f>
        <v>6226216.2786999997</v>
      </c>
      <c r="I133" s="188"/>
      <c r="J133" s="198">
        <v>0</v>
      </c>
      <c r="K133" s="199">
        <v>0</v>
      </c>
      <c r="L133" s="188"/>
      <c r="M133" s="188"/>
      <c r="N133" s="188"/>
      <c r="O133" s="175"/>
    </row>
    <row r="134" spans="1:15" ht="14" customHeight="1">
      <c r="A134" s="834"/>
      <c r="B134" s="179" t="s">
        <v>8</v>
      </c>
      <c r="C134" s="181" t="s">
        <v>7</v>
      </c>
      <c r="D134" s="198">
        <f t="shared" ref="D134:D144" si="22">SUM(G134,J134)</f>
        <v>0</v>
      </c>
      <c r="E134" s="199">
        <f t="shared" ref="E134:E144" si="23">SUM(H134,K134)</f>
        <v>0</v>
      </c>
      <c r="F134" s="188"/>
      <c r="G134" s="198">
        <v>0</v>
      </c>
      <c r="H134" s="199">
        <f t="shared" ref="H134:H139" si="24">G134</f>
        <v>0</v>
      </c>
      <c r="I134" s="188"/>
      <c r="J134" s="198">
        <v>0</v>
      </c>
      <c r="K134" s="199">
        <v>0</v>
      </c>
      <c r="L134" s="188"/>
      <c r="M134" s="188"/>
      <c r="N134" s="188"/>
      <c r="O134" s="175"/>
    </row>
    <row r="135" spans="1:15" ht="14" customHeight="1">
      <c r="A135" s="834"/>
      <c r="B135" s="179" t="s">
        <v>8</v>
      </c>
      <c r="C135" s="182" t="s">
        <v>1</v>
      </c>
      <c r="D135" s="198">
        <f t="shared" si="22"/>
        <v>0</v>
      </c>
      <c r="E135" s="199">
        <f t="shared" si="23"/>
        <v>0</v>
      </c>
      <c r="F135" s="188"/>
      <c r="G135" s="198">
        <v>0</v>
      </c>
      <c r="H135" s="199">
        <f t="shared" si="24"/>
        <v>0</v>
      </c>
      <c r="I135" s="188"/>
      <c r="J135" s="198">
        <v>0</v>
      </c>
      <c r="K135" s="199">
        <v>0</v>
      </c>
      <c r="L135" s="188"/>
      <c r="M135" s="188"/>
      <c r="N135" s="188"/>
      <c r="O135" s="175"/>
    </row>
    <row r="136" spans="1:15" ht="14" customHeight="1">
      <c r="A136" s="834"/>
      <c r="B136" s="179" t="s">
        <v>8</v>
      </c>
      <c r="C136" s="183" t="s">
        <v>13</v>
      </c>
      <c r="D136" s="200">
        <f t="shared" si="22"/>
        <v>0</v>
      </c>
      <c r="E136" s="201">
        <f t="shared" si="23"/>
        <v>0</v>
      </c>
      <c r="F136" s="188"/>
      <c r="G136" s="200">
        <v>0</v>
      </c>
      <c r="H136" s="201">
        <f t="shared" si="24"/>
        <v>0</v>
      </c>
      <c r="I136" s="188"/>
      <c r="J136" s="200">
        <v>0</v>
      </c>
      <c r="K136" s="201">
        <v>0</v>
      </c>
      <c r="L136" s="188"/>
      <c r="M136" s="188"/>
      <c r="N136" s="188"/>
      <c r="O136" s="175"/>
    </row>
    <row r="137" spans="1:15" ht="14" customHeight="1">
      <c r="A137" s="834"/>
      <c r="B137" s="184" t="s">
        <v>9</v>
      </c>
      <c r="C137" s="180" t="s">
        <v>0</v>
      </c>
      <c r="D137" s="198">
        <f t="shared" si="22"/>
        <v>12059153.197129926</v>
      </c>
      <c r="E137" s="199">
        <f t="shared" si="23"/>
        <v>11871619.381157201</v>
      </c>
      <c r="F137" s="188"/>
      <c r="G137" s="198">
        <f>1168646.6140072+9106740.17+1258539.048+10342.04295+327351.5062</f>
        <v>11871619.381157201</v>
      </c>
      <c r="H137" s="199">
        <f t="shared" si="24"/>
        <v>11871619.381157201</v>
      </c>
      <c r="I137" s="188"/>
      <c r="J137" s="198">
        <f>Geothermal!O27</f>
        <v>187533.81597272403</v>
      </c>
      <c r="K137" s="199">
        <v>0</v>
      </c>
      <c r="L137" s="188"/>
      <c r="M137" s="188"/>
      <c r="N137" s="188"/>
      <c r="O137" s="175"/>
    </row>
    <row r="138" spans="1:15" ht="14" customHeight="1">
      <c r="A138" s="834"/>
      <c r="B138" s="184" t="s">
        <v>9</v>
      </c>
      <c r="C138" s="181" t="s">
        <v>7</v>
      </c>
      <c r="D138" s="198">
        <f t="shared" si="22"/>
        <v>139347.30160000001</v>
      </c>
      <c r="E138" s="199">
        <f t="shared" si="23"/>
        <v>139347.30160000001</v>
      </c>
      <c r="F138" s="188"/>
      <c r="G138" s="198">
        <f>139347.3016</f>
        <v>139347.30160000001</v>
      </c>
      <c r="H138" s="199">
        <f t="shared" si="24"/>
        <v>139347.30160000001</v>
      </c>
      <c r="I138" s="188"/>
      <c r="J138" s="198">
        <v>0</v>
      </c>
      <c r="K138" s="199">
        <v>0</v>
      </c>
      <c r="L138" s="188"/>
      <c r="M138" s="188"/>
      <c r="N138" s="188"/>
      <c r="O138" s="175"/>
    </row>
    <row r="139" spans="1:15" ht="14" customHeight="1">
      <c r="A139" s="834"/>
      <c r="B139" s="184" t="s">
        <v>9</v>
      </c>
      <c r="C139" s="182" t="s">
        <v>1</v>
      </c>
      <c r="D139" s="198">
        <f t="shared" si="22"/>
        <v>0</v>
      </c>
      <c r="E139" s="199">
        <f t="shared" si="23"/>
        <v>0</v>
      </c>
      <c r="F139" s="188"/>
      <c r="G139" s="198">
        <f>SUMIFS('Intermediate geothermal'!$H$5:$H$73,'Intermediate geothermal'!$I$5:$I$73,"groundwater",'Intermediate geothermal'!$E$5:$E$73,"saline")</f>
        <v>0</v>
      </c>
      <c r="H139" s="199">
        <f t="shared" si="24"/>
        <v>0</v>
      </c>
      <c r="I139" s="188"/>
      <c r="J139" s="198">
        <v>0</v>
      </c>
      <c r="K139" s="199">
        <v>0</v>
      </c>
      <c r="L139" s="188"/>
      <c r="M139" s="188"/>
      <c r="N139" s="188"/>
      <c r="O139" s="175"/>
    </row>
    <row r="140" spans="1:15" ht="14" customHeight="1">
      <c r="A140" s="834"/>
      <c r="B140" s="184" t="s">
        <v>9</v>
      </c>
      <c r="C140" s="183" t="s">
        <v>13</v>
      </c>
      <c r="D140" s="202">
        <f t="shared" si="22"/>
        <v>0</v>
      </c>
      <c r="E140" s="203">
        <f t="shared" si="23"/>
        <v>0</v>
      </c>
      <c r="F140" s="188"/>
      <c r="G140" s="202">
        <f>SUMIFS('Intermediate geothermal'!$H$5:$H$73,'Intermediate geothermal'!$I$5:$I$73,"groundwater",'Intermediate geothermal'!$E$5:$E$73,"not RO treatable")</f>
        <v>0</v>
      </c>
      <c r="H140" s="203">
        <f>SUMIFS('Intermediate geothermal'!$G$5:$G$73,'Intermediate geothermal'!$I$5:$I$73,"groundwater",'Intermediate geothermal'!$E$5:$E$73,"not RO treatable")</f>
        <v>0</v>
      </c>
      <c r="I140" s="188"/>
      <c r="J140" s="202">
        <v>0</v>
      </c>
      <c r="K140" s="203">
        <v>0</v>
      </c>
      <c r="L140" s="188"/>
      <c r="M140" s="188"/>
      <c r="N140" s="188"/>
      <c r="O140" s="175"/>
    </row>
    <row r="141" spans="1:15" ht="14" customHeight="1">
      <c r="A141" s="834"/>
      <c r="B141" s="185" t="s">
        <v>10</v>
      </c>
      <c r="C141" s="180" t="s">
        <v>0</v>
      </c>
      <c r="D141" s="198">
        <f t="shared" si="22"/>
        <v>0</v>
      </c>
      <c r="E141" s="199">
        <f t="shared" si="23"/>
        <v>0</v>
      </c>
      <c r="F141" s="188"/>
      <c r="G141" s="198">
        <f>SUMIFS('Intermediate geothermal'!$H$5:$H$73,'Intermediate geothermal'!$I$5:$I$73,"reuse",'Intermediate geothermal'!$E$5:$E$73,"fresh")</f>
        <v>0</v>
      </c>
      <c r="H141" s="199">
        <f>SUMIFS('Intermediate geothermal'!$G$5:$G$73,'Intermediate geothermal'!$I$5:$I$73,"reuse",'Intermediate geothermal'!$E$5:$E$73,"fresh")</f>
        <v>0</v>
      </c>
      <c r="I141" s="188"/>
      <c r="J141" s="198">
        <v>0</v>
      </c>
      <c r="K141" s="199">
        <v>0</v>
      </c>
      <c r="L141" s="188"/>
      <c r="M141" s="188"/>
      <c r="N141" s="188"/>
      <c r="O141" s="175"/>
    </row>
    <row r="142" spans="1:15" ht="14" customHeight="1">
      <c r="A142" s="834"/>
      <c r="B142" s="185" t="s">
        <v>10</v>
      </c>
      <c r="C142" s="181" t="s">
        <v>7</v>
      </c>
      <c r="D142" s="198">
        <f t="shared" si="22"/>
        <v>0</v>
      </c>
      <c r="E142" s="199">
        <f t="shared" si="23"/>
        <v>0</v>
      </c>
      <c r="F142" s="188"/>
      <c r="G142" s="198">
        <f>SUMIFS('Intermediate geothermal'!$H$5:$H$73,'Intermediate geothermal'!$I$5:$I$73,"reuse",'Intermediate geothermal'!$E$5:$E$73,"brackish")</f>
        <v>0</v>
      </c>
      <c r="H142" s="199">
        <f>SUMIFS('Intermediate geothermal'!$G$5:$G$73,'Intermediate geothermal'!$I$5:$I$73,"reuse",'Intermediate geothermal'!$E$5:$E$73,"brackish")</f>
        <v>0</v>
      </c>
      <c r="I142" s="188"/>
      <c r="J142" s="198">
        <v>0</v>
      </c>
      <c r="K142" s="199">
        <v>0</v>
      </c>
      <c r="L142" s="188"/>
      <c r="M142" s="188"/>
      <c r="N142" s="188"/>
      <c r="O142" s="175"/>
    </row>
    <row r="143" spans="1:15" ht="14" customHeight="1">
      <c r="A143" s="834"/>
      <c r="B143" s="185" t="s">
        <v>10</v>
      </c>
      <c r="C143" s="182" t="s">
        <v>1</v>
      </c>
      <c r="D143" s="198">
        <f t="shared" si="22"/>
        <v>0</v>
      </c>
      <c r="E143" s="199">
        <f t="shared" si="23"/>
        <v>0</v>
      </c>
      <c r="F143" s="188"/>
      <c r="G143" s="198">
        <f>SUMIFS('Intermediate geothermal'!$H$5:$H$73,'Intermediate geothermal'!$I$5:$I$73,"reuse",'Intermediate geothermal'!$E$5:$E$73,"saline")</f>
        <v>0</v>
      </c>
      <c r="H143" s="199">
        <f>SUMIFS('Intermediate geothermal'!$G$5:$G$73,'Intermediate geothermal'!$I$5:$I$73,"reuse",'Intermediate geothermal'!$E$5:$E$73,"saline")</f>
        <v>0</v>
      </c>
      <c r="I143" s="188"/>
      <c r="J143" s="198">
        <v>0</v>
      </c>
      <c r="K143" s="199">
        <v>0</v>
      </c>
      <c r="L143" s="188"/>
      <c r="M143" s="188"/>
      <c r="N143" s="188"/>
      <c r="O143" s="175"/>
    </row>
    <row r="144" spans="1:15" ht="14" customHeight="1">
      <c r="A144" s="834"/>
      <c r="B144" s="185" t="s">
        <v>10</v>
      </c>
      <c r="C144" s="183" t="s">
        <v>13</v>
      </c>
      <c r="D144" s="204">
        <f t="shared" si="22"/>
        <v>0</v>
      </c>
      <c r="E144" s="205">
        <f t="shared" si="23"/>
        <v>0</v>
      </c>
      <c r="F144" s="188"/>
      <c r="G144" s="204">
        <f>SUMIFS('Intermediate geothermal'!$H$5:$H$73,'Intermediate geothermal'!$I$5:$I$73,"reuse",'Intermediate geothermal'!$E$5:$E$73,"not RO treatable")</f>
        <v>0</v>
      </c>
      <c r="H144" s="205">
        <f>SUMIFS('Intermediate geothermal'!$G$5:$G$73,'Intermediate geothermal'!$I$5:$I$73,"reuse",'Intermediate geothermal'!$E$5:$E$73,"not RO treatable")</f>
        <v>0</v>
      </c>
      <c r="I144" s="188"/>
      <c r="J144" s="204">
        <v>0</v>
      </c>
      <c r="K144" s="205">
        <v>0</v>
      </c>
      <c r="L144" s="188"/>
      <c r="M144" s="188"/>
      <c r="N144" s="188"/>
      <c r="O144" s="175"/>
    </row>
    <row r="145" spans="1:15" ht="15" customHeight="1">
      <c r="A145" s="175"/>
      <c r="D145" s="839" t="s">
        <v>31</v>
      </c>
      <c r="E145" s="839"/>
      <c r="F145" s="188"/>
      <c r="G145" s="188"/>
      <c r="H145" s="188"/>
      <c r="I145" s="188"/>
      <c r="J145" s="188"/>
      <c r="K145" s="188"/>
      <c r="L145" s="188"/>
      <c r="M145" s="188"/>
      <c r="N145" s="188"/>
      <c r="O145" s="175"/>
    </row>
    <row r="146" spans="1:15" ht="14" customHeight="1">
      <c r="A146" s="834" t="s">
        <v>32</v>
      </c>
      <c r="B146" s="178" t="s">
        <v>761</v>
      </c>
      <c r="C146" s="178" t="s">
        <v>762</v>
      </c>
      <c r="D146" s="192" t="s">
        <v>208</v>
      </c>
      <c r="E146" s="193" t="s">
        <v>209</v>
      </c>
      <c r="F146" s="188"/>
      <c r="G146" s="188"/>
      <c r="H146" s="188"/>
      <c r="I146" s="188"/>
      <c r="J146" s="188"/>
      <c r="K146" s="188"/>
      <c r="L146" s="188"/>
      <c r="M146" s="188"/>
      <c r="N146" s="188"/>
      <c r="O146" s="175"/>
    </row>
    <row r="147" spans="1:15" ht="14" customHeight="1">
      <c r="A147" s="834"/>
      <c r="B147" s="179" t="s">
        <v>8</v>
      </c>
      <c r="C147" s="180" t="s">
        <v>0</v>
      </c>
      <c r="D147" s="198">
        <v>7663100.6580862086</v>
      </c>
      <c r="E147" s="199">
        <v>2170506.3047532965</v>
      </c>
      <c r="F147" s="188"/>
      <c r="G147" s="188"/>
      <c r="H147" s="188"/>
      <c r="I147" s="188"/>
      <c r="J147" s="188"/>
      <c r="K147" s="188"/>
      <c r="L147" s="188"/>
      <c r="M147" s="188"/>
      <c r="N147" s="188"/>
      <c r="O147" s="175"/>
    </row>
    <row r="148" spans="1:15" ht="14" customHeight="1">
      <c r="A148" s="834"/>
      <c r="B148" s="179" t="s">
        <v>8</v>
      </c>
      <c r="C148" s="181" t="s">
        <v>7</v>
      </c>
      <c r="D148" s="198">
        <v>0</v>
      </c>
      <c r="E148" s="199">
        <v>0</v>
      </c>
      <c r="F148" s="188"/>
      <c r="G148" s="188"/>
      <c r="H148" s="188"/>
      <c r="I148" s="188"/>
      <c r="J148" s="188"/>
      <c r="K148" s="188"/>
      <c r="L148" s="188"/>
      <c r="M148" s="188"/>
      <c r="N148" s="188"/>
      <c r="O148" s="175"/>
    </row>
    <row r="149" spans="1:15" ht="14" customHeight="1">
      <c r="A149" s="834"/>
      <c r="B149" s="179" t="s">
        <v>8</v>
      </c>
      <c r="C149" s="182" t="s">
        <v>1</v>
      </c>
      <c r="D149" s="198">
        <v>0</v>
      </c>
      <c r="E149" s="199">
        <v>0</v>
      </c>
      <c r="F149" s="188"/>
      <c r="G149" s="188"/>
      <c r="H149" s="188"/>
      <c r="I149" s="188"/>
      <c r="J149" s="188"/>
      <c r="K149" s="188"/>
      <c r="L149" s="188"/>
      <c r="M149" s="188"/>
      <c r="N149" s="188"/>
      <c r="O149" s="175"/>
    </row>
    <row r="150" spans="1:15" ht="14" customHeight="1">
      <c r="A150" s="834"/>
      <c r="B150" s="179" t="s">
        <v>8</v>
      </c>
      <c r="C150" s="183" t="s">
        <v>13</v>
      </c>
      <c r="D150" s="200">
        <v>0</v>
      </c>
      <c r="E150" s="201">
        <v>0</v>
      </c>
      <c r="F150" s="188"/>
      <c r="G150" s="188"/>
      <c r="H150" s="188"/>
      <c r="I150" s="188"/>
      <c r="J150" s="188"/>
      <c r="K150" s="188"/>
      <c r="L150" s="188"/>
      <c r="M150" s="188"/>
      <c r="N150" s="188"/>
      <c r="O150" s="175"/>
    </row>
    <row r="151" spans="1:15" ht="14" customHeight="1">
      <c r="A151" s="834"/>
      <c r="B151" s="184" t="s">
        <v>9</v>
      </c>
      <c r="C151" s="180" t="s">
        <v>0</v>
      </c>
      <c r="D151" s="198">
        <v>5696018.8044666667</v>
      </c>
      <c r="E151" s="199">
        <v>5678798.1037323698</v>
      </c>
      <c r="F151" s="188"/>
      <c r="G151" s="188"/>
      <c r="H151" s="188"/>
      <c r="I151" s="188"/>
      <c r="J151" s="188"/>
      <c r="K151" s="188"/>
      <c r="L151" s="188"/>
      <c r="M151" s="188"/>
      <c r="N151" s="188"/>
      <c r="O151" s="175"/>
    </row>
    <row r="152" spans="1:15" ht="14" customHeight="1">
      <c r="A152" s="834"/>
      <c r="B152" s="184" t="s">
        <v>9</v>
      </c>
      <c r="C152" s="181" t="s">
        <v>7</v>
      </c>
      <c r="D152" s="198">
        <v>205546.40782321995</v>
      </c>
      <c r="E152" s="199">
        <v>205546.40782321995</v>
      </c>
      <c r="F152" s="188"/>
      <c r="G152" s="188"/>
      <c r="H152" s="188"/>
      <c r="I152" s="188"/>
      <c r="J152" s="188"/>
      <c r="K152" s="188"/>
      <c r="L152" s="188"/>
      <c r="M152" s="188"/>
      <c r="N152" s="188"/>
      <c r="O152" s="175"/>
    </row>
    <row r="153" spans="1:15" ht="14" customHeight="1">
      <c r="A153" s="834"/>
      <c r="B153" s="184" t="s">
        <v>9</v>
      </c>
      <c r="C153" s="182" t="s">
        <v>1</v>
      </c>
      <c r="D153" s="198">
        <v>0</v>
      </c>
      <c r="E153" s="199">
        <v>0</v>
      </c>
      <c r="F153" s="188"/>
      <c r="G153" s="188"/>
      <c r="H153" s="188"/>
      <c r="I153" s="188"/>
      <c r="J153" s="188"/>
      <c r="K153" s="188"/>
      <c r="L153" s="188"/>
      <c r="M153" s="188"/>
      <c r="N153" s="188"/>
      <c r="O153" s="175"/>
    </row>
    <row r="154" spans="1:15" ht="14" customHeight="1">
      <c r="A154" s="834"/>
      <c r="B154" s="184" t="s">
        <v>9</v>
      </c>
      <c r="C154" s="183" t="s">
        <v>13</v>
      </c>
      <c r="D154" s="202">
        <v>0</v>
      </c>
      <c r="E154" s="203">
        <v>0</v>
      </c>
      <c r="F154" s="188"/>
      <c r="G154" s="188"/>
      <c r="H154" s="188"/>
      <c r="I154" s="188"/>
      <c r="J154" s="188"/>
      <c r="K154" s="188"/>
      <c r="L154" s="188"/>
      <c r="M154" s="188"/>
      <c r="N154" s="188"/>
      <c r="O154" s="175"/>
    </row>
    <row r="155" spans="1:15" ht="14" customHeight="1">
      <c r="A155" s="834"/>
      <c r="B155" s="185" t="s">
        <v>10</v>
      </c>
      <c r="C155" s="180" t="s">
        <v>0</v>
      </c>
      <c r="D155" s="198">
        <v>0</v>
      </c>
      <c r="E155" s="199">
        <v>0</v>
      </c>
      <c r="F155" s="188"/>
      <c r="G155" s="188"/>
      <c r="H155" s="188"/>
      <c r="I155" s="188"/>
      <c r="J155" s="188"/>
      <c r="K155" s="188"/>
      <c r="L155" s="188"/>
      <c r="M155" s="188"/>
      <c r="N155" s="188"/>
      <c r="O155" s="175"/>
    </row>
    <row r="156" spans="1:15" ht="14" customHeight="1">
      <c r="A156" s="834"/>
      <c r="B156" s="185" t="s">
        <v>10</v>
      </c>
      <c r="C156" s="181" t="s">
        <v>7</v>
      </c>
      <c r="D156" s="198">
        <v>0</v>
      </c>
      <c r="E156" s="199">
        <v>0</v>
      </c>
      <c r="F156" s="188"/>
      <c r="G156" s="188"/>
      <c r="H156" s="188"/>
      <c r="I156" s="188"/>
      <c r="J156" s="188"/>
      <c r="K156" s="188"/>
      <c r="L156" s="188"/>
      <c r="M156" s="188"/>
      <c r="N156" s="188"/>
      <c r="O156" s="175"/>
    </row>
    <row r="157" spans="1:15" ht="14" customHeight="1">
      <c r="A157" s="834"/>
      <c r="B157" s="185" t="s">
        <v>10</v>
      </c>
      <c r="C157" s="182" t="s">
        <v>1</v>
      </c>
      <c r="D157" s="198">
        <v>0</v>
      </c>
      <c r="E157" s="199">
        <v>0</v>
      </c>
      <c r="F157" s="188"/>
      <c r="G157" s="188"/>
      <c r="H157" s="188"/>
      <c r="I157" s="188"/>
      <c r="J157" s="188"/>
      <c r="K157" s="188"/>
      <c r="L157" s="188"/>
      <c r="M157" s="188"/>
      <c r="N157" s="188"/>
      <c r="O157" s="175"/>
    </row>
    <row r="158" spans="1:15" ht="14" customHeight="1">
      <c r="A158" s="834"/>
      <c r="B158" s="185" t="s">
        <v>10</v>
      </c>
      <c r="C158" s="183" t="s">
        <v>13</v>
      </c>
      <c r="D158" s="204">
        <v>0</v>
      </c>
      <c r="E158" s="205">
        <v>0</v>
      </c>
      <c r="F158" s="188"/>
      <c r="G158" s="188"/>
      <c r="H158" s="188"/>
      <c r="I158" s="188"/>
      <c r="J158" s="188"/>
      <c r="K158" s="188"/>
      <c r="L158" s="188"/>
      <c r="M158" s="188"/>
      <c r="N158" s="188"/>
      <c r="O158" s="175"/>
    </row>
    <row r="159" spans="1:15">
      <c r="A159" s="175"/>
      <c r="B159" s="175"/>
      <c r="C159" s="175"/>
      <c r="D159" s="175"/>
      <c r="E159" s="175"/>
      <c r="F159" s="175"/>
      <c r="G159" s="175"/>
      <c r="H159" s="175"/>
      <c r="I159" s="175"/>
      <c r="J159" s="175"/>
      <c r="K159" s="175"/>
      <c r="L159" s="175"/>
      <c r="M159" s="188"/>
      <c r="N159" s="175"/>
      <c r="O159" s="175"/>
    </row>
  </sheetData>
  <sheetProtection sheet="1" objects="1" scenarios="1" formatCells="0" formatColumns="0" formatRows="0" insertHyperlinks="0" sort="0" autoFilter="0" pivotTables="0"/>
  <mergeCells count="39">
    <mergeCell ref="A146:A158"/>
    <mergeCell ref="A118:A130"/>
    <mergeCell ref="A132:A144"/>
    <mergeCell ref="G19:H19"/>
    <mergeCell ref="A90:A102"/>
    <mergeCell ref="A104:A116"/>
    <mergeCell ref="A76:A88"/>
    <mergeCell ref="D145:E145"/>
    <mergeCell ref="D131:E131"/>
    <mergeCell ref="D117:E117"/>
    <mergeCell ref="D103:E103"/>
    <mergeCell ref="D89:E89"/>
    <mergeCell ref="G131:H131"/>
    <mergeCell ref="P3:Y3"/>
    <mergeCell ref="Z3:AI3"/>
    <mergeCell ref="AJ3:AS3"/>
    <mergeCell ref="M19:N19"/>
    <mergeCell ref="A62:A74"/>
    <mergeCell ref="A20:A32"/>
    <mergeCell ref="A34:A46"/>
    <mergeCell ref="A48:A60"/>
    <mergeCell ref="A4:A18"/>
    <mergeCell ref="M33:N33"/>
    <mergeCell ref="M47:N47"/>
    <mergeCell ref="D4:E4"/>
    <mergeCell ref="D3:E3"/>
    <mergeCell ref="M75:N75"/>
    <mergeCell ref="M103:N103"/>
    <mergeCell ref="G33:H33"/>
    <mergeCell ref="G47:H47"/>
    <mergeCell ref="G75:H75"/>
    <mergeCell ref="G103:H103"/>
    <mergeCell ref="J131:K131"/>
    <mergeCell ref="D19:E19"/>
    <mergeCell ref="D75:E75"/>
    <mergeCell ref="D61:E61"/>
    <mergeCell ref="D33:E33"/>
    <mergeCell ref="D47:E47"/>
    <mergeCell ref="J19:K19"/>
  </mergeCells>
  <phoneticPr fontId="55" type="noConversion"/>
  <pageMargins left="0.75" right="0.75" top="1" bottom="1" header="0.5" footer="0.5"/>
  <pageSetup paperSize="3" scale="28" orientation="landscape" horizontalDpi="4294967292" verticalDpi="429496729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pageSetUpPr fitToPage="1"/>
  </sheetPr>
  <dimension ref="A1:AA99"/>
  <sheetViews>
    <sheetView workbookViewId="0">
      <selection activeCell="B2" sqref="B2"/>
    </sheetView>
  </sheetViews>
  <sheetFormatPr baseColWidth="10" defaultRowHeight="13"/>
  <cols>
    <col min="1" max="1" width="27.33203125" style="12" customWidth="1"/>
    <col min="2" max="2" width="15.6640625" style="12" customWidth="1"/>
    <col min="3" max="4" width="12.1640625" style="12" customWidth="1"/>
    <col min="5" max="5" width="12.5" style="12" customWidth="1"/>
    <col min="6" max="6" width="17" style="12" customWidth="1"/>
    <col min="7" max="7" width="12.83203125" style="12" customWidth="1"/>
    <col min="8" max="8" width="10.83203125" style="12" customWidth="1"/>
    <col min="9" max="9" width="10.83203125" style="12"/>
    <col min="10" max="27" width="10.83203125" style="12" customWidth="1"/>
    <col min="28" max="16384" width="10.83203125" style="12"/>
  </cols>
  <sheetData>
    <row r="1" spans="1:27">
      <c r="A1" s="565" t="s">
        <v>778</v>
      </c>
      <c r="B1" s="77"/>
      <c r="C1" s="77"/>
      <c r="D1" s="77"/>
      <c r="E1" s="77"/>
      <c r="F1" s="77"/>
      <c r="G1" s="77"/>
      <c r="H1" s="77"/>
      <c r="I1" s="77"/>
      <c r="J1" s="77"/>
      <c r="K1" s="77"/>
      <c r="L1" s="77"/>
      <c r="M1" s="77"/>
      <c r="N1" s="77"/>
      <c r="O1" s="77"/>
      <c r="P1" s="77"/>
      <c r="Q1" s="77"/>
      <c r="R1" s="77"/>
      <c r="S1" s="77"/>
      <c r="T1" s="77"/>
      <c r="U1" s="77"/>
      <c r="V1" s="77"/>
    </row>
    <row r="2" spans="1:27">
      <c r="A2" s="565" t="s">
        <v>779</v>
      </c>
      <c r="B2" s="77"/>
      <c r="C2" s="77"/>
      <c r="D2" s="77"/>
      <c r="E2" s="77"/>
      <c r="F2" s="77"/>
      <c r="G2" s="77"/>
      <c r="H2" s="77"/>
      <c r="I2" s="77"/>
      <c r="J2" s="77"/>
      <c r="K2" s="77"/>
      <c r="L2" s="77"/>
      <c r="M2" s="77"/>
      <c r="N2" s="77"/>
      <c r="O2" s="77"/>
      <c r="P2" s="77"/>
      <c r="Q2" s="77"/>
      <c r="R2" s="77"/>
      <c r="S2" s="77"/>
      <c r="T2" s="77"/>
      <c r="U2" s="77"/>
      <c r="V2" s="77"/>
    </row>
    <row r="3" spans="1:27">
      <c r="A3" s="565" t="s">
        <v>780</v>
      </c>
      <c r="B3" s="77"/>
      <c r="C3" s="77"/>
      <c r="D3" s="77"/>
      <c r="E3" s="77"/>
      <c r="F3" s="77"/>
      <c r="G3" s="77"/>
      <c r="H3" s="77"/>
      <c r="I3" s="77"/>
      <c r="J3" s="77"/>
      <c r="K3" s="77"/>
      <c r="L3" s="77"/>
      <c r="M3" s="77"/>
      <c r="N3" s="77"/>
      <c r="O3" s="77"/>
      <c r="P3" s="77"/>
      <c r="Q3" s="77"/>
      <c r="R3" s="77"/>
      <c r="S3" s="77"/>
      <c r="T3" s="77"/>
      <c r="U3" s="77"/>
      <c r="V3" s="77"/>
    </row>
    <row r="4" spans="1:27">
      <c r="A4" s="565"/>
      <c r="B4" s="77"/>
      <c r="C4" s="77"/>
      <c r="D4" s="77"/>
      <c r="E4" s="77"/>
      <c r="F4" s="77"/>
      <c r="G4" s="77"/>
      <c r="H4" s="77"/>
      <c r="I4" s="77"/>
      <c r="J4" s="77"/>
      <c r="K4" s="77"/>
      <c r="L4" s="77"/>
      <c r="M4" s="77"/>
      <c r="N4" s="77"/>
      <c r="O4" s="77"/>
      <c r="P4" s="77"/>
      <c r="Q4" s="77"/>
      <c r="R4" s="77"/>
      <c r="S4" s="77"/>
      <c r="T4" s="77"/>
      <c r="U4" s="77"/>
      <c r="V4" s="77"/>
    </row>
    <row r="5" spans="1:27">
      <c r="A5" s="566" t="s">
        <v>840</v>
      </c>
      <c r="B5" s="77" t="s">
        <v>845</v>
      </c>
      <c r="C5" s="77"/>
      <c r="D5" s="77"/>
      <c r="E5" s="77"/>
      <c r="F5" s="77"/>
      <c r="G5" s="77"/>
      <c r="H5" s="77"/>
      <c r="I5" s="77"/>
      <c r="J5" s="77"/>
      <c r="K5" s="77"/>
      <c r="L5" s="77"/>
      <c r="M5" s="77"/>
      <c r="N5" s="77"/>
      <c r="O5" s="77"/>
      <c r="P5" s="77"/>
      <c r="Q5" s="77"/>
      <c r="R5" s="77"/>
      <c r="S5" s="77"/>
      <c r="T5" s="77"/>
      <c r="U5" s="77"/>
      <c r="V5" s="77"/>
    </row>
    <row r="6" spans="1:27">
      <c r="A6" s="565"/>
      <c r="B6" s="77" t="s">
        <v>848</v>
      </c>
      <c r="C6" s="77"/>
      <c r="D6" s="77"/>
      <c r="E6" s="77"/>
      <c r="F6" s="77"/>
      <c r="G6" s="77"/>
      <c r="H6" s="77"/>
      <c r="I6" s="77"/>
      <c r="J6" s="77"/>
      <c r="K6" s="77"/>
      <c r="L6" s="77"/>
      <c r="M6" s="77"/>
      <c r="N6" s="77"/>
      <c r="O6" s="77"/>
      <c r="P6" s="77"/>
      <c r="Q6" s="77"/>
      <c r="R6" s="77"/>
      <c r="S6" s="77"/>
      <c r="T6" s="77"/>
      <c r="U6" s="77"/>
      <c r="V6" s="77"/>
    </row>
    <row r="7" spans="1:27">
      <c r="A7" s="565"/>
      <c r="B7" s="77" t="s">
        <v>849</v>
      </c>
      <c r="C7" s="77"/>
      <c r="D7" s="77"/>
      <c r="E7" s="77"/>
      <c r="F7" s="77"/>
      <c r="G7" s="77"/>
      <c r="H7" s="77"/>
      <c r="I7" s="77"/>
      <c r="J7" s="77"/>
      <c r="K7" s="77"/>
      <c r="L7" s="77"/>
      <c r="M7" s="77"/>
      <c r="N7" s="77"/>
      <c r="O7" s="77"/>
      <c r="P7" s="77"/>
      <c r="Q7" s="77"/>
      <c r="R7" s="77"/>
      <c r="S7" s="77"/>
      <c r="T7" s="77"/>
      <c r="U7" s="77"/>
      <c r="V7" s="77"/>
    </row>
    <row r="8" spans="1:27">
      <c r="A8" s="565"/>
      <c r="B8" s="77"/>
      <c r="C8" s="77"/>
      <c r="D8" s="77"/>
      <c r="E8" s="77"/>
      <c r="F8" s="77"/>
      <c r="G8" s="77"/>
      <c r="H8" s="77"/>
      <c r="I8" s="77"/>
      <c r="J8" s="77"/>
      <c r="K8" s="77"/>
      <c r="L8" s="77"/>
      <c r="M8" s="77"/>
      <c r="N8" s="77"/>
      <c r="O8" s="77"/>
      <c r="P8" s="77"/>
      <c r="Q8" s="77"/>
      <c r="R8" s="77"/>
      <c r="S8" s="77"/>
      <c r="T8" s="77"/>
      <c r="U8" s="77"/>
      <c r="V8" s="77"/>
    </row>
    <row r="9" spans="1:27">
      <c r="A9" s="565"/>
      <c r="B9" s="77" t="s">
        <v>850</v>
      </c>
      <c r="C9" s="77"/>
      <c r="D9" s="77"/>
      <c r="E9" s="77"/>
      <c r="F9" s="77"/>
      <c r="G9" s="77"/>
      <c r="H9" s="77"/>
      <c r="I9" s="77"/>
      <c r="J9" s="77"/>
      <c r="K9" s="77"/>
      <c r="L9" s="77"/>
      <c r="M9" s="77"/>
      <c r="N9" s="77"/>
      <c r="O9" s="77"/>
      <c r="P9" s="77"/>
      <c r="Q9" s="77"/>
      <c r="R9" s="77"/>
      <c r="S9" s="77"/>
      <c r="T9" s="77"/>
      <c r="U9" s="77"/>
      <c r="V9" s="77"/>
    </row>
    <row r="10" spans="1:27">
      <c r="A10" s="77"/>
      <c r="B10" s="77"/>
      <c r="C10" s="565"/>
      <c r="D10" s="77"/>
      <c r="E10" s="77"/>
      <c r="F10" s="77"/>
      <c r="G10" s="77"/>
      <c r="H10" s="77"/>
      <c r="I10" s="77"/>
      <c r="J10" s="77"/>
      <c r="K10" s="77"/>
      <c r="L10" s="77"/>
      <c r="M10" s="77"/>
      <c r="N10" s="77"/>
      <c r="O10" s="77"/>
      <c r="P10" s="77"/>
      <c r="Q10" s="77"/>
      <c r="R10" s="77"/>
      <c r="S10" s="77"/>
      <c r="T10" s="77"/>
      <c r="U10" s="77"/>
      <c r="V10" s="77"/>
    </row>
    <row r="11" spans="1:27" ht="91">
      <c r="A11" s="599" t="s">
        <v>838</v>
      </c>
      <c r="B11" s="599" t="s">
        <v>839</v>
      </c>
      <c r="C11" s="600" t="s">
        <v>781</v>
      </c>
      <c r="D11" s="601" t="s">
        <v>782</v>
      </c>
      <c r="E11" s="601" t="s">
        <v>783</v>
      </c>
      <c r="F11" s="601" t="s">
        <v>784</v>
      </c>
      <c r="G11" s="601" t="s">
        <v>785</v>
      </c>
      <c r="H11" s="77"/>
      <c r="I11" s="77"/>
      <c r="J11" s="77"/>
      <c r="K11" s="77"/>
      <c r="L11" s="77"/>
      <c r="M11" s="77"/>
      <c r="N11" s="77"/>
      <c r="O11" s="77"/>
      <c r="P11" s="77"/>
      <c r="Q11" s="77"/>
      <c r="R11" s="234"/>
      <c r="S11" s="234"/>
      <c r="T11" s="234"/>
      <c r="U11" s="234"/>
      <c r="V11" s="234"/>
      <c r="W11"/>
      <c r="X11"/>
      <c r="Y11"/>
      <c r="Z11"/>
      <c r="AA11"/>
    </row>
    <row r="12" spans="1:27" ht="15">
      <c r="A12" s="567">
        <v>1745</v>
      </c>
      <c r="B12" s="568" t="s">
        <v>787</v>
      </c>
      <c r="C12" s="569" t="s">
        <v>695</v>
      </c>
      <c r="D12" s="569" t="s">
        <v>36</v>
      </c>
      <c r="E12" s="570">
        <v>526.84299999999996</v>
      </c>
      <c r="F12" s="571" t="s">
        <v>732</v>
      </c>
      <c r="G12" s="571" t="s">
        <v>743</v>
      </c>
      <c r="H12" s="77"/>
      <c r="I12" s="77"/>
      <c r="J12" s="77"/>
      <c r="K12" s="77"/>
      <c r="L12" s="77"/>
      <c r="M12" s="77"/>
      <c r="N12" s="77"/>
      <c r="O12" s="77"/>
      <c r="P12" s="77"/>
      <c r="Q12" s="77"/>
      <c r="R12" s="234"/>
      <c r="S12" s="234"/>
      <c r="T12" s="234"/>
      <c r="U12" s="234"/>
      <c r="V12" s="234"/>
      <c r="W12"/>
      <c r="X12"/>
      <c r="Y12"/>
      <c r="Z12"/>
      <c r="AA12"/>
    </row>
    <row r="13" spans="1:27" ht="15">
      <c r="A13" s="567">
        <v>50481</v>
      </c>
      <c r="B13" s="568" t="s">
        <v>788</v>
      </c>
      <c r="C13" s="569" t="s">
        <v>695</v>
      </c>
      <c r="D13" s="569" t="s">
        <v>36</v>
      </c>
      <c r="E13" s="570">
        <v>634.17100000000005</v>
      </c>
      <c r="F13" s="571" t="s">
        <v>732</v>
      </c>
      <c r="G13" s="571" t="s">
        <v>743</v>
      </c>
      <c r="H13" s="77"/>
      <c r="I13" s="77"/>
      <c r="J13" s="77"/>
      <c r="K13" s="77"/>
      <c r="L13" s="77"/>
      <c r="M13" s="77"/>
      <c r="N13" s="77"/>
      <c r="O13" s="77"/>
      <c r="P13" s="77"/>
      <c r="Q13" s="77"/>
      <c r="R13" s="234"/>
      <c r="S13" s="234"/>
      <c r="T13" s="234"/>
      <c r="U13" s="234"/>
      <c r="V13" s="234"/>
      <c r="W13"/>
      <c r="X13"/>
      <c r="Y13"/>
      <c r="Z13"/>
      <c r="AA13"/>
    </row>
    <row r="14" spans="1:27" ht="15">
      <c r="A14" s="567">
        <v>57842</v>
      </c>
      <c r="B14" s="568" t="s">
        <v>789</v>
      </c>
      <c r="C14" s="569" t="s">
        <v>695</v>
      </c>
      <c r="D14" s="569" t="s">
        <v>74</v>
      </c>
      <c r="E14" s="570">
        <v>29091.532999999999</v>
      </c>
      <c r="F14" s="571" t="s">
        <v>732</v>
      </c>
      <c r="G14" s="571" t="s">
        <v>743</v>
      </c>
      <c r="H14" s="77"/>
      <c r="I14" s="77"/>
      <c r="J14" s="77"/>
      <c r="K14" s="77"/>
      <c r="L14" s="77"/>
      <c r="M14" s="77"/>
      <c r="N14" s="77"/>
      <c r="O14" s="77"/>
      <c r="P14" s="77"/>
      <c r="Q14" s="77"/>
      <c r="R14" s="234"/>
      <c r="S14" s="234"/>
      <c r="T14" s="234"/>
      <c r="U14" s="234"/>
      <c r="V14" s="234"/>
      <c r="W14"/>
      <c r="X14"/>
      <c r="Y14"/>
      <c r="Z14"/>
      <c r="AA14"/>
    </row>
    <row r="15" spans="1:27" ht="15">
      <c r="A15" s="567">
        <v>10208</v>
      </c>
      <c r="B15" s="568" t="s">
        <v>790</v>
      </c>
      <c r="C15" s="569" t="s">
        <v>695</v>
      </c>
      <c r="D15" s="569" t="s">
        <v>786</v>
      </c>
      <c r="E15" s="570">
        <v>15389.771000000001</v>
      </c>
      <c r="F15" s="571" t="s">
        <v>732</v>
      </c>
      <c r="G15" s="571" t="s">
        <v>743</v>
      </c>
      <c r="H15" s="77"/>
      <c r="I15" s="77"/>
      <c r="J15" s="77"/>
      <c r="K15" s="77"/>
      <c r="L15" s="77"/>
      <c r="M15" s="77"/>
      <c r="N15" s="77"/>
      <c r="O15" s="77"/>
      <c r="P15" s="77"/>
      <c r="Q15" s="77"/>
      <c r="R15" s="234"/>
      <c r="S15" s="234"/>
      <c r="T15" s="234"/>
      <c r="U15" s="234"/>
      <c r="V15" s="234"/>
      <c r="W15"/>
      <c r="X15"/>
      <c r="Y15"/>
      <c r="Z15"/>
      <c r="AA15"/>
    </row>
    <row r="16" spans="1:27" ht="15">
      <c r="A16" s="567">
        <v>55419</v>
      </c>
      <c r="B16" s="568" t="s">
        <v>791</v>
      </c>
      <c r="C16" s="569" t="s">
        <v>695</v>
      </c>
      <c r="D16" s="569" t="s">
        <v>36</v>
      </c>
      <c r="E16" s="570">
        <v>1817.624</v>
      </c>
      <c r="F16" s="571" t="s">
        <v>732</v>
      </c>
      <c r="G16" s="571" t="s">
        <v>743</v>
      </c>
      <c r="H16" s="77"/>
      <c r="I16" s="77"/>
      <c r="J16" s="77"/>
      <c r="K16" s="77"/>
      <c r="L16" s="77"/>
      <c r="M16" s="77"/>
      <c r="N16" s="77"/>
      <c r="O16" s="77"/>
      <c r="P16" s="77"/>
      <c r="Q16" s="77"/>
      <c r="R16" s="234"/>
      <c r="S16" s="234"/>
      <c r="T16" s="234"/>
      <c r="U16" s="234"/>
      <c r="V16" s="234"/>
      <c r="W16"/>
      <c r="X16"/>
      <c r="Y16"/>
      <c r="Z16"/>
      <c r="AA16"/>
    </row>
    <row r="17" spans="1:27" ht="15">
      <c r="A17" s="567">
        <v>50304</v>
      </c>
      <c r="B17" s="568" t="s">
        <v>792</v>
      </c>
      <c r="C17" s="569" t="s">
        <v>701</v>
      </c>
      <c r="D17" s="569" t="s">
        <v>12</v>
      </c>
      <c r="E17" s="570">
        <v>99944</v>
      </c>
      <c r="F17" s="571" t="s">
        <v>732</v>
      </c>
      <c r="G17" s="571" t="s">
        <v>743</v>
      </c>
      <c r="H17" s="77"/>
      <c r="I17" s="77"/>
      <c r="J17" s="77"/>
      <c r="K17" s="77"/>
      <c r="L17" s="77"/>
      <c r="M17" s="77"/>
      <c r="N17" s="77"/>
      <c r="O17" s="77"/>
      <c r="P17" s="77"/>
      <c r="Q17" s="77"/>
      <c r="R17" s="234"/>
      <c r="S17" s="234"/>
      <c r="T17" s="234"/>
      <c r="U17" s="234"/>
      <c r="V17" s="234"/>
      <c r="W17"/>
      <c r="X17"/>
      <c r="Y17"/>
      <c r="Z17"/>
      <c r="AA17"/>
    </row>
    <row r="18" spans="1:27" ht="15">
      <c r="A18" s="567">
        <v>56163</v>
      </c>
      <c r="B18" s="568" t="s">
        <v>793</v>
      </c>
      <c r="C18" s="569" t="s">
        <v>726</v>
      </c>
      <c r="D18" s="569" t="s">
        <v>36</v>
      </c>
      <c r="E18" s="570">
        <v>114404</v>
      </c>
      <c r="F18" s="571" t="s">
        <v>734</v>
      </c>
      <c r="G18" s="571" t="s">
        <v>743</v>
      </c>
      <c r="H18" s="77"/>
      <c r="I18" s="77"/>
      <c r="J18" s="77"/>
      <c r="K18" s="77"/>
      <c r="L18" s="77"/>
      <c r="M18" s="77"/>
      <c r="N18" s="77"/>
      <c r="O18" s="77"/>
      <c r="P18" s="77"/>
      <c r="Q18" s="77"/>
      <c r="R18" s="234"/>
      <c r="S18" s="234"/>
      <c r="T18" s="234"/>
      <c r="U18" s="234"/>
      <c r="V18" s="234"/>
      <c r="W18"/>
      <c r="X18"/>
      <c r="Y18"/>
      <c r="Z18"/>
      <c r="AA18"/>
    </row>
    <row r="19" spans="1:27" ht="15">
      <c r="A19" s="567">
        <v>6504</v>
      </c>
      <c r="B19" s="568" t="s">
        <v>794</v>
      </c>
      <c r="C19" s="569" t="s">
        <v>695</v>
      </c>
      <c r="D19" s="569" t="s">
        <v>12</v>
      </c>
      <c r="E19" s="570">
        <v>111.102</v>
      </c>
      <c r="F19" s="571" t="s">
        <v>777</v>
      </c>
      <c r="G19" s="571" t="s">
        <v>777</v>
      </c>
      <c r="H19" s="77"/>
      <c r="I19" s="77"/>
      <c r="J19" s="77"/>
      <c r="K19" s="77"/>
      <c r="L19" s="77"/>
      <c r="M19" s="77"/>
      <c r="N19" s="77"/>
      <c r="O19" s="77"/>
      <c r="P19" s="77"/>
      <c r="Q19" s="77"/>
      <c r="R19" s="234"/>
      <c r="S19" s="234"/>
      <c r="T19" s="234"/>
      <c r="U19" s="234"/>
      <c r="V19" s="234"/>
      <c r="W19"/>
      <c r="X19"/>
      <c r="Y19"/>
      <c r="Z19"/>
      <c r="AA19"/>
    </row>
    <row r="20" spans="1:27">
      <c r="A20" s="567">
        <v>52006</v>
      </c>
      <c r="B20" s="72" t="s">
        <v>795</v>
      </c>
      <c r="C20" s="74" t="s">
        <v>695</v>
      </c>
      <c r="D20" s="74" t="s">
        <v>12</v>
      </c>
      <c r="E20" s="572">
        <v>102.73050000000001</v>
      </c>
      <c r="F20" s="72" t="s">
        <v>732</v>
      </c>
      <c r="G20" s="72" t="s">
        <v>743</v>
      </c>
      <c r="H20" s="77"/>
      <c r="I20" s="77"/>
      <c r="J20" s="77"/>
      <c r="K20" s="77"/>
      <c r="L20" s="77"/>
      <c r="M20" s="77"/>
      <c r="N20" s="77"/>
      <c r="O20" s="77"/>
      <c r="P20" s="77"/>
      <c r="Q20" s="77"/>
      <c r="R20" s="77"/>
      <c r="S20" s="77"/>
      <c r="T20" s="77"/>
      <c r="U20" s="77"/>
      <c r="V20" s="77"/>
    </row>
    <row r="21" spans="1:27">
      <c r="A21" s="567">
        <v>52006</v>
      </c>
      <c r="B21" s="72" t="s">
        <v>795</v>
      </c>
      <c r="C21" s="74" t="s">
        <v>695</v>
      </c>
      <c r="D21" s="74" t="s">
        <v>12</v>
      </c>
      <c r="E21" s="572">
        <v>102.73050000000001</v>
      </c>
      <c r="F21" s="72" t="s">
        <v>732</v>
      </c>
      <c r="G21" s="72" t="s">
        <v>743</v>
      </c>
      <c r="H21" s="77"/>
      <c r="I21" s="77"/>
      <c r="J21" s="77"/>
      <c r="K21" s="77"/>
      <c r="L21" s="77"/>
      <c r="M21" s="77"/>
      <c r="N21" s="77"/>
      <c r="O21" s="77"/>
      <c r="P21" s="77"/>
      <c r="Q21" s="77"/>
      <c r="R21" s="77"/>
      <c r="S21" s="77"/>
      <c r="T21" s="77"/>
      <c r="U21" s="77"/>
      <c r="V21" s="77"/>
    </row>
    <row r="22" spans="1:27">
      <c r="A22" s="567">
        <v>4195</v>
      </c>
      <c r="B22" s="568" t="s">
        <v>796</v>
      </c>
      <c r="C22" s="569" t="s">
        <v>726</v>
      </c>
      <c r="D22" s="74" t="s">
        <v>12</v>
      </c>
      <c r="E22" s="570">
        <v>91160</v>
      </c>
      <c r="F22" s="571" t="s">
        <v>732</v>
      </c>
      <c r="G22" s="571" t="s">
        <v>743</v>
      </c>
      <c r="H22" s="77"/>
      <c r="I22" s="77"/>
      <c r="J22" s="77"/>
      <c r="K22" s="77"/>
      <c r="L22" s="77"/>
      <c r="M22" s="77"/>
      <c r="N22" s="77"/>
      <c r="O22" s="77"/>
      <c r="P22" s="77"/>
      <c r="Q22" s="77"/>
      <c r="R22" s="77"/>
      <c r="S22" s="77"/>
      <c r="T22" s="77"/>
      <c r="U22" s="77"/>
      <c r="V22" s="77"/>
    </row>
    <row r="23" spans="1:27">
      <c r="A23" s="567">
        <v>55066</v>
      </c>
      <c r="B23" s="568" t="s">
        <v>797</v>
      </c>
      <c r="C23" s="569" t="s">
        <v>726</v>
      </c>
      <c r="D23" s="74" t="s">
        <v>12</v>
      </c>
      <c r="E23" s="570">
        <v>6402</v>
      </c>
      <c r="F23" s="571" t="s">
        <v>732</v>
      </c>
      <c r="G23" s="571" t="s">
        <v>743</v>
      </c>
      <c r="H23" s="77"/>
      <c r="I23" s="77"/>
      <c r="J23" s="77"/>
      <c r="K23" s="77"/>
      <c r="L23" s="77"/>
      <c r="M23" s="77"/>
      <c r="N23" s="77"/>
      <c r="O23" s="77"/>
      <c r="P23" s="77"/>
      <c r="Q23" s="77"/>
      <c r="R23" s="77"/>
      <c r="S23" s="77"/>
      <c r="T23" s="77"/>
      <c r="U23" s="77"/>
      <c r="V23" s="77"/>
    </row>
    <row r="24" spans="1:27">
      <c r="A24" s="567">
        <v>54758</v>
      </c>
      <c r="B24" s="568" t="s">
        <v>798</v>
      </c>
      <c r="C24" s="569" t="s">
        <v>695</v>
      </c>
      <c r="D24" s="569" t="s">
        <v>36</v>
      </c>
      <c r="E24" s="570">
        <v>74878</v>
      </c>
      <c r="F24" s="571" t="s">
        <v>734</v>
      </c>
      <c r="G24" s="571" t="s">
        <v>743</v>
      </c>
      <c r="H24" s="77"/>
      <c r="I24" s="77"/>
      <c r="J24" s="77"/>
      <c r="K24" s="77"/>
      <c r="L24" s="77"/>
      <c r="M24" s="77"/>
      <c r="N24" s="77"/>
      <c r="O24" s="77"/>
      <c r="P24" s="77"/>
      <c r="Q24" s="77"/>
      <c r="R24" s="77"/>
      <c r="S24" s="77"/>
      <c r="T24" s="77"/>
      <c r="U24" s="77"/>
      <c r="V24" s="77"/>
    </row>
    <row r="25" spans="1:27">
      <c r="A25" s="567">
        <v>54805</v>
      </c>
      <c r="B25" s="568" t="s">
        <v>799</v>
      </c>
      <c r="C25" s="569" t="s">
        <v>726</v>
      </c>
      <c r="D25" s="569" t="s">
        <v>36</v>
      </c>
      <c r="E25" s="570">
        <v>15940</v>
      </c>
      <c r="F25" s="571" t="s">
        <v>736</v>
      </c>
      <c r="G25" s="571" t="s">
        <v>745</v>
      </c>
      <c r="H25" s="77"/>
      <c r="I25" s="77"/>
      <c r="J25" s="77"/>
      <c r="K25" s="77"/>
      <c r="L25" s="77"/>
      <c r="M25" s="77"/>
      <c r="N25" s="77"/>
      <c r="O25" s="77"/>
      <c r="P25" s="77"/>
      <c r="Q25" s="77"/>
      <c r="R25" s="77"/>
      <c r="S25" s="77"/>
      <c r="T25" s="77"/>
      <c r="U25" s="77"/>
      <c r="V25" s="77"/>
    </row>
    <row r="26" spans="1:27">
      <c r="A26" s="567">
        <v>10621</v>
      </c>
      <c r="B26" s="568" t="s">
        <v>800</v>
      </c>
      <c r="C26" s="569" t="s">
        <v>701</v>
      </c>
      <c r="D26" s="569" t="s">
        <v>12</v>
      </c>
      <c r="E26" s="570">
        <v>29422</v>
      </c>
      <c r="F26" s="571" t="s">
        <v>732</v>
      </c>
      <c r="G26" s="571" t="s">
        <v>743</v>
      </c>
      <c r="H26" s="77"/>
      <c r="I26" s="77"/>
      <c r="J26" s="77"/>
      <c r="K26" s="77"/>
      <c r="L26" s="77"/>
      <c r="M26" s="77"/>
      <c r="N26" s="77"/>
      <c r="O26" s="77"/>
      <c r="P26" s="77"/>
      <c r="Q26" s="77"/>
      <c r="R26" s="77"/>
      <c r="S26" s="77"/>
      <c r="T26" s="77"/>
      <c r="U26" s="77"/>
      <c r="V26" s="77"/>
    </row>
    <row r="27" spans="1:27">
      <c r="A27" s="567">
        <v>55557</v>
      </c>
      <c r="B27" s="568" t="s">
        <v>801</v>
      </c>
      <c r="C27" s="569" t="s">
        <v>726</v>
      </c>
      <c r="D27" s="74" t="s">
        <v>12</v>
      </c>
      <c r="E27" s="570">
        <v>12188</v>
      </c>
      <c r="F27" s="571" t="s">
        <v>732</v>
      </c>
      <c r="G27" s="571" t="s">
        <v>743</v>
      </c>
      <c r="H27" s="77"/>
      <c r="I27" s="77"/>
      <c r="J27" s="77"/>
      <c r="K27" s="77"/>
      <c r="L27" s="77"/>
      <c r="M27" s="77"/>
      <c r="N27" s="77"/>
      <c r="O27" s="77"/>
      <c r="P27" s="77"/>
      <c r="Q27" s="77"/>
      <c r="R27" s="77"/>
      <c r="S27" s="77"/>
      <c r="T27" s="77"/>
      <c r="U27" s="77"/>
      <c r="V27" s="77"/>
    </row>
    <row r="28" spans="1:27">
      <c r="A28" s="567">
        <v>50202</v>
      </c>
      <c r="B28" s="568" t="s">
        <v>802</v>
      </c>
      <c r="C28" s="569" t="s">
        <v>701</v>
      </c>
      <c r="D28" s="569" t="s">
        <v>36</v>
      </c>
      <c r="E28" s="570">
        <v>42002.94</v>
      </c>
      <c r="F28" s="571" t="s">
        <v>732</v>
      </c>
      <c r="G28" s="571" t="s">
        <v>743</v>
      </c>
      <c r="H28" s="77"/>
      <c r="I28" s="77"/>
      <c r="J28" s="77"/>
      <c r="K28" s="77"/>
      <c r="L28" s="77"/>
      <c r="M28" s="77"/>
      <c r="N28" s="77"/>
      <c r="O28" s="77"/>
      <c r="P28" s="77"/>
      <c r="Q28" s="77"/>
      <c r="R28" s="77"/>
      <c r="S28" s="77"/>
      <c r="T28" s="77"/>
      <c r="U28" s="77"/>
      <c r="V28" s="77"/>
    </row>
    <row r="29" spans="1:27">
      <c r="A29" s="567">
        <v>50624</v>
      </c>
      <c r="B29" s="568" t="s">
        <v>803</v>
      </c>
      <c r="C29" s="569" t="s">
        <v>726</v>
      </c>
      <c r="D29" s="569" t="s">
        <v>36</v>
      </c>
      <c r="E29" s="570">
        <v>203584.57</v>
      </c>
      <c r="F29" s="571" t="s">
        <v>736</v>
      </c>
      <c r="G29" s="571" t="s">
        <v>745</v>
      </c>
      <c r="H29" s="77"/>
      <c r="I29" s="77"/>
      <c r="J29" s="77"/>
      <c r="K29" s="77"/>
      <c r="L29" s="77"/>
      <c r="M29" s="77"/>
      <c r="N29" s="77"/>
      <c r="O29" s="77"/>
      <c r="P29" s="77"/>
      <c r="Q29" s="77"/>
      <c r="R29" s="77"/>
      <c r="S29" s="77"/>
      <c r="T29" s="77"/>
      <c r="U29" s="77"/>
      <c r="V29" s="77"/>
    </row>
    <row r="30" spans="1:27">
      <c r="A30" s="567">
        <v>50388</v>
      </c>
      <c r="B30" s="568" t="s">
        <v>804</v>
      </c>
      <c r="C30" s="569" t="s">
        <v>726</v>
      </c>
      <c r="D30" s="569" t="s">
        <v>36</v>
      </c>
      <c r="E30" s="570">
        <v>15404</v>
      </c>
      <c r="F30" s="571" t="s">
        <v>732</v>
      </c>
      <c r="G30" s="571" t="s">
        <v>743</v>
      </c>
      <c r="H30" s="77"/>
      <c r="I30" s="77"/>
      <c r="J30" s="77"/>
      <c r="K30" s="77"/>
      <c r="L30" s="77"/>
      <c r="M30" s="77"/>
      <c r="N30" s="77"/>
      <c r="O30" s="77"/>
      <c r="P30" s="77"/>
      <c r="Q30" s="77"/>
      <c r="R30" s="77"/>
      <c r="S30" s="77"/>
      <c r="T30" s="77"/>
      <c r="U30" s="77"/>
      <c r="V30" s="77"/>
    </row>
    <row r="31" spans="1:27">
      <c r="A31" s="567">
        <v>10623</v>
      </c>
      <c r="B31" s="568" t="s">
        <v>805</v>
      </c>
      <c r="C31" s="569" t="s">
        <v>701</v>
      </c>
      <c r="D31" s="569" t="s">
        <v>12</v>
      </c>
      <c r="E31" s="570">
        <v>220727</v>
      </c>
      <c r="F31" s="571" t="s">
        <v>732</v>
      </c>
      <c r="G31" s="571" t="s">
        <v>743</v>
      </c>
      <c r="H31" s="77"/>
      <c r="I31" s="77"/>
      <c r="J31" s="77"/>
      <c r="K31" s="77"/>
      <c r="L31" s="77"/>
      <c r="M31" s="77"/>
      <c r="N31" s="77"/>
      <c r="O31" s="77"/>
      <c r="P31" s="77"/>
      <c r="Q31" s="77"/>
      <c r="R31" s="77"/>
      <c r="S31" s="77"/>
      <c r="T31" s="77"/>
      <c r="U31" s="77"/>
      <c r="V31" s="77"/>
    </row>
    <row r="32" spans="1:27">
      <c r="A32" s="567">
        <v>54694</v>
      </c>
      <c r="B32" s="568" t="s">
        <v>806</v>
      </c>
      <c r="C32" s="569" t="s">
        <v>726</v>
      </c>
      <c r="D32" s="569" t="s">
        <v>36</v>
      </c>
      <c r="E32" s="570">
        <v>238284</v>
      </c>
      <c r="F32" s="571" t="s">
        <v>732</v>
      </c>
      <c r="G32" s="571" t="s">
        <v>743</v>
      </c>
      <c r="H32" s="77"/>
      <c r="I32" s="77"/>
      <c r="J32" s="77"/>
      <c r="K32" s="77"/>
      <c r="L32" s="77"/>
      <c r="M32" s="77"/>
      <c r="N32" s="77"/>
      <c r="O32" s="77"/>
      <c r="P32" s="77"/>
      <c r="Q32" s="77"/>
      <c r="R32" s="77"/>
      <c r="S32" s="77"/>
      <c r="T32" s="77"/>
      <c r="U32" s="77"/>
      <c r="V32" s="77"/>
    </row>
    <row r="33" spans="1:22">
      <c r="A33" s="567">
        <v>54749</v>
      </c>
      <c r="B33" s="568" t="s">
        <v>807</v>
      </c>
      <c r="C33" s="569" t="s">
        <v>726</v>
      </c>
      <c r="D33" s="569" t="s">
        <v>36</v>
      </c>
      <c r="E33" s="570">
        <v>522590.16</v>
      </c>
      <c r="F33" s="571" t="s">
        <v>732</v>
      </c>
      <c r="G33" s="571" t="s">
        <v>743</v>
      </c>
      <c r="H33" s="77"/>
      <c r="I33" s="77"/>
      <c r="J33" s="77"/>
      <c r="K33" s="77"/>
      <c r="L33" s="77"/>
      <c r="M33" s="77"/>
      <c r="N33" s="77"/>
      <c r="O33" s="77"/>
      <c r="P33" s="77"/>
      <c r="Q33" s="77"/>
      <c r="R33" s="77"/>
      <c r="S33" s="77"/>
      <c r="T33" s="77"/>
      <c r="U33" s="77"/>
      <c r="V33" s="77"/>
    </row>
    <row r="34" spans="1:22">
      <c r="A34" s="567">
        <v>10601</v>
      </c>
      <c r="B34" s="568" t="s">
        <v>808</v>
      </c>
      <c r="C34" s="569" t="s">
        <v>726</v>
      </c>
      <c r="D34" s="74" t="s">
        <v>12</v>
      </c>
      <c r="E34" s="570">
        <v>214262</v>
      </c>
      <c r="F34" s="571" t="s">
        <v>732</v>
      </c>
      <c r="G34" s="571" t="s">
        <v>743</v>
      </c>
      <c r="H34" s="77"/>
      <c r="I34" s="77"/>
      <c r="J34" s="77"/>
      <c r="K34" s="77"/>
      <c r="L34" s="77"/>
      <c r="M34" s="77"/>
      <c r="N34" s="77"/>
      <c r="O34" s="77"/>
      <c r="P34" s="77"/>
      <c r="Q34" s="77"/>
      <c r="R34" s="77"/>
      <c r="S34" s="77"/>
      <c r="T34" s="77"/>
      <c r="U34" s="77"/>
      <c r="V34" s="77"/>
    </row>
    <row r="35" spans="1:22">
      <c r="A35" s="567">
        <v>50371</v>
      </c>
      <c r="B35" s="568" t="s">
        <v>809</v>
      </c>
      <c r="C35" s="569" t="s">
        <v>726</v>
      </c>
      <c r="D35" s="569" t="s">
        <v>36</v>
      </c>
      <c r="E35" s="570">
        <v>207420.92</v>
      </c>
      <c r="F35" s="571" t="s">
        <v>732</v>
      </c>
      <c r="G35" s="571" t="s">
        <v>743</v>
      </c>
      <c r="H35" s="77"/>
      <c r="I35" s="77"/>
      <c r="J35" s="77"/>
      <c r="K35" s="77"/>
      <c r="L35" s="77"/>
      <c r="M35" s="77"/>
      <c r="N35" s="77"/>
      <c r="O35" s="77"/>
      <c r="P35" s="77"/>
      <c r="Q35" s="77"/>
      <c r="R35" s="77"/>
      <c r="S35" s="77"/>
      <c r="T35" s="77"/>
      <c r="U35" s="77"/>
      <c r="V35" s="77"/>
    </row>
    <row r="36" spans="1:22">
      <c r="A36" s="567">
        <v>6474</v>
      </c>
      <c r="B36" s="568" t="s">
        <v>810</v>
      </c>
      <c r="C36" s="569" t="s">
        <v>695</v>
      </c>
      <c r="D36" s="74" t="s">
        <v>12</v>
      </c>
      <c r="E36" s="570">
        <v>453.584</v>
      </c>
      <c r="F36" s="571" t="s">
        <v>732</v>
      </c>
      <c r="G36" s="571" t="s">
        <v>746</v>
      </c>
      <c r="H36" s="77"/>
      <c r="I36" s="77"/>
      <c r="J36" s="77"/>
      <c r="K36" s="77"/>
      <c r="L36" s="77"/>
      <c r="M36" s="77"/>
      <c r="N36" s="77"/>
      <c r="O36" s="77"/>
      <c r="P36" s="77"/>
      <c r="Q36" s="77"/>
      <c r="R36" s="77"/>
      <c r="S36" s="77"/>
      <c r="T36" s="77"/>
      <c r="U36" s="77"/>
      <c r="V36" s="77"/>
    </row>
    <row r="37" spans="1:22">
      <c r="A37" s="567">
        <v>6056</v>
      </c>
      <c r="B37" s="568" t="s">
        <v>811</v>
      </c>
      <c r="C37" s="569" t="s">
        <v>726</v>
      </c>
      <c r="D37" s="569" t="s">
        <v>36</v>
      </c>
      <c r="E37" s="570">
        <v>14965</v>
      </c>
      <c r="F37" s="571" t="s">
        <v>732</v>
      </c>
      <c r="G37" s="571" t="s">
        <v>746</v>
      </c>
      <c r="H37" s="77"/>
      <c r="I37" s="77"/>
      <c r="J37" s="77"/>
      <c r="K37" s="77"/>
      <c r="L37" s="77"/>
      <c r="M37" s="77"/>
      <c r="N37" s="77"/>
      <c r="O37" s="77"/>
      <c r="P37" s="77"/>
      <c r="Q37" s="77"/>
      <c r="R37" s="77"/>
      <c r="S37" s="77"/>
      <c r="T37" s="77"/>
      <c r="U37" s="77"/>
      <c r="V37" s="77"/>
    </row>
    <row r="38" spans="1:22">
      <c r="A38" s="567">
        <v>54945</v>
      </c>
      <c r="B38" s="568" t="s">
        <v>812</v>
      </c>
      <c r="C38" s="569" t="s">
        <v>695</v>
      </c>
      <c r="D38" s="569" t="s">
        <v>36</v>
      </c>
      <c r="E38" s="570">
        <v>69632.736000000004</v>
      </c>
      <c r="F38" s="571" t="s">
        <v>732</v>
      </c>
      <c r="G38" s="571" t="s">
        <v>743</v>
      </c>
      <c r="H38" s="77"/>
      <c r="I38" s="77"/>
      <c r="J38" s="77"/>
      <c r="K38" s="77"/>
      <c r="L38" s="77"/>
      <c r="M38" s="77"/>
      <c r="N38" s="77"/>
      <c r="O38" s="77"/>
      <c r="P38" s="77"/>
      <c r="Q38" s="77"/>
      <c r="R38" s="77"/>
      <c r="S38" s="77"/>
      <c r="T38" s="77"/>
      <c r="U38" s="77"/>
      <c r="V38" s="77"/>
    </row>
    <row r="39" spans="1:22">
      <c r="A39" s="567">
        <v>50205</v>
      </c>
      <c r="B39" s="568" t="s">
        <v>813</v>
      </c>
      <c r="C39" s="569" t="s">
        <v>726</v>
      </c>
      <c r="D39" s="74" t="s">
        <v>12</v>
      </c>
      <c r="E39" s="570">
        <v>42386</v>
      </c>
      <c r="F39" s="571" t="s">
        <v>732</v>
      </c>
      <c r="G39" s="571" t="s">
        <v>743</v>
      </c>
      <c r="H39" s="77"/>
      <c r="I39" s="77"/>
      <c r="J39" s="77"/>
      <c r="K39" s="77"/>
      <c r="L39" s="77"/>
      <c r="M39" s="77"/>
      <c r="N39" s="77"/>
      <c r="O39" s="77"/>
      <c r="P39" s="77"/>
      <c r="Q39" s="77"/>
      <c r="R39" s="77"/>
      <c r="S39" s="77"/>
      <c r="T39" s="77"/>
      <c r="U39" s="77"/>
      <c r="V39" s="77"/>
    </row>
    <row r="40" spans="1:22">
      <c r="A40" s="567">
        <v>50404</v>
      </c>
      <c r="B40" s="568" t="s">
        <v>814</v>
      </c>
      <c r="C40" s="569" t="s">
        <v>726</v>
      </c>
      <c r="D40" s="74" t="s">
        <v>12</v>
      </c>
      <c r="E40" s="570">
        <v>342381</v>
      </c>
      <c r="F40" s="571" t="s">
        <v>732</v>
      </c>
      <c r="G40" s="571" t="s">
        <v>743</v>
      </c>
      <c r="H40" s="77"/>
      <c r="I40" s="77"/>
      <c r="J40" s="77"/>
      <c r="K40" s="77"/>
      <c r="L40" s="77"/>
      <c r="M40" s="77"/>
      <c r="N40" s="77"/>
      <c r="O40" s="77"/>
      <c r="P40" s="77"/>
      <c r="Q40" s="77"/>
      <c r="R40" s="77"/>
      <c r="S40" s="77"/>
      <c r="T40" s="77"/>
      <c r="U40" s="77"/>
      <c r="V40" s="77"/>
    </row>
    <row r="41" spans="1:22">
      <c r="A41" s="567">
        <v>6288</v>
      </c>
      <c r="B41" s="568" t="s">
        <v>815</v>
      </c>
      <c r="C41" s="569" t="s">
        <v>726</v>
      </c>
      <c r="D41" s="569" t="s">
        <v>36</v>
      </c>
      <c r="E41" s="570">
        <v>0.97</v>
      </c>
      <c r="F41" s="571" t="s">
        <v>732</v>
      </c>
      <c r="G41" s="571" t="s">
        <v>743</v>
      </c>
      <c r="H41" s="77"/>
      <c r="I41" s="77"/>
      <c r="J41" s="77"/>
      <c r="K41" s="77"/>
      <c r="L41" s="77"/>
      <c r="M41" s="77"/>
      <c r="N41" s="77"/>
      <c r="O41" s="77"/>
      <c r="P41" s="77"/>
      <c r="Q41" s="77"/>
      <c r="R41" s="77"/>
      <c r="S41" s="77"/>
      <c r="T41" s="77"/>
      <c r="U41" s="77"/>
      <c r="V41" s="77"/>
    </row>
    <row r="42" spans="1:22">
      <c r="A42" s="567">
        <v>10610</v>
      </c>
      <c r="B42" s="568" t="s">
        <v>816</v>
      </c>
      <c r="C42" s="569" t="s">
        <v>701</v>
      </c>
      <c r="D42" s="569" t="s">
        <v>786</v>
      </c>
      <c r="E42" s="570">
        <v>66234</v>
      </c>
      <c r="F42" s="571" t="s">
        <v>732</v>
      </c>
      <c r="G42" s="571" t="s">
        <v>743</v>
      </c>
      <c r="H42" s="77"/>
      <c r="I42" s="77"/>
      <c r="J42" s="77"/>
      <c r="K42" s="77"/>
      <c r="L42" s="77"/>
      <c r="M42" s="77"/>
      <c r="N42" s="77"/>
      <c r="O42" s="77"/>
      <c r="P42" s="77"/>
      <c r="Q42" s="77"/>
      <c r="R42" s="77"/>
      <c r="S42" s="77"/>
      <c r="T42" s="77"/>
      <c r="U42" s="77"/>
      <c r="V42" s="77"/>
    </row>
    <row r="43" spans="1:22">
      <c r="A43" s="567">
        <v>57944</v>
      </c>
      <c r="B43" s="568" t="s">
        <v>817</v>
      </c>
      <c r="C43" s="569" t="s">
        <v>695</v>
      </c>
      <c r="D43" s="569" t="s">
        <v>36</v>
      </c>
      <c r="E43" s="570">
        <v>74052.906000000003</v>
      </c>
      <c r="F43" s="571" t="s">
        <v>732</v>
      </c>
      <c r="G43" s="571" t="s">
        <v>743</v>
      </c>
      <c r="H43" s="77"/>
      <c r="I43" s="77"/>
      <c r="J43" s="77"/>
      <c r="K43" s="77"/>
      <c r="L43" s="77"/>
      <c r="M43" s="77"/>
      <c r="N43" s="77"/>
      <c r="O43" s="77"/>
      <c r="P43" s="77"/>
      <c r="Q43" s="77"/>
      <c r="R43" s="77"/>
      <c r="S43" s="77"/>
      <c r="T43" s="77"/>
      <c r="U43" s="77"/>
      <c r="V43" s="77"/>
    </row>
    <row r="44" spans="1:22">
      <c r="A44" s="567">
        <v>10425</v>
      </c>
      <c r="B44" s="568" t="s">
        <v>818</v>
      </c>
      <c r="C44" s="569" t="s">
        <v>701</v>
      </c>
      <c r="D44" s="569" t="s">
        <v>12</v>
      </c>
      <c r="E44" s="570">
        <v>76899.66</v>
      </c>
      <c r="F44" s="571" t="s">
        <v>732</v>
      </c>
      <c r="G44" s="571" t="s">
        <v>743</v>
      </c>
      <c r="H44" s="77"/>
      <c r="I44" s="77"/>
      <c r="J44" s="77"/>
      <c r="K44" s="77"/>
      <c r="L44" s="77"/>
      <c r="M44" s="77"/>
      <c r="N44" s="77"/>
      <c r="O44" s="77"/>
      <c r="P44" s="77"/>
      <c r="Q44" s="77"/>
      <c r="R44" s="77"/>
      <c r="S44" s="77"/>
      <c r="T44" s="77"/>
      <c r="U44" s="77"/>
      <c r="V44" s="77"/>
    </row>
    <row r="45" spans="1:22">
      <c r="A45" s="567">
        <v>54785</v>
      </c>
      <c r="B45" s="568" t="s">
        <v>819</v>
      </c>
      <c r="C45" s="569" t="s">
        <v>726</v>
      </c>
      <c r="D45" s="569" t="s">
        <v>36</v>
      </c>
      <c r="E45" s="570">
        <v>326750.56</v>
      </c>
      <c r="F45" s="571" t="s">
        <v>732</v>
      </c>
      <c r="G45" s="571" t="s">
        <v>743</v>
      </c>
      <c r="H45" s="77"/>
      <c r="I45" s="77"/>
      <c r="J45" s="77"/>
      <c r="K45" s="77"/>
      <c r="L45" s="77"/>
      <c r="M45" s="77"/>
      <c r="N45" s="77"/>
      <c r="O45" s="77"/>
      <c r="P45" s="77"/>
      <c r="Q45" s="77"/>
      <c r="R45" s="77"/>
      <c r="S45" s="77"/>
      <c r="T45" s="77"/>
      <c r="U45" s="77"/>
      <c r="V45" s="77"/>
    </row>
    <row r="46" spans="1:22">
      <c r="A46" s="567">
        <v>3176</v>
      </c>
      <c r="B46" s="568" t="s">
        <v>820</v>
      </c>
      <c r="C46" s="569" t="s">
        <v>695</v>
      </c>
      <c r="D46" s="74" t="s">
        <v>12</v>
      </c>
      <c r="E46" s="570">
        <v>10899.537</v>
      </c>
      <c r="F46" s="571" t="s">
        <v>732</v>
      </c>
      <c r="G46" s="571" t="s">
        <v>743</v>
      </c>
      <c r="H46" s="77"/>
      <c r="I46" s="77"/>
      <c r="J46" s="77"/>
      <c r="K46" s="77"/>
      <c r="L46" s="77"/>
      <c r="M46" s="77"/>
      <c r="N46" s="77"/>
      <c r="O46" s="77"/>
      <c r="P46" s="77"/>
      <c r="Q46" s="77"/>
      <c r="R46" s="77"/>
      <c r="S46" s="77"/>
      <c r="T46" s="77"/>
      <c r="U46" s="77"/>
      <c r="V46" s="77"/>
    </row>
    <row r="47" spans="1:22">
      <c r="A47" s="567">
        <v>10606</v>
      </c>
      <c r="B47" s="568" t="s">
        <v>821</v>
      </c>
      <c r="C47" s="569" t="s">
        <v>701</v>
      </c>
      <c r="D47" s="569" t="s">
        <v>74</v>
      </c>
      <c r="E47" s="570">
        <v>278471.87</v>
      </c>
      <c r="F47" s="571" t="s">
        <v>732</v>
      </c>
      <c r="G47" s="571" t="s">
        <v>746</v>
      </c>
      <c r="H47" s="77"/>
      <c r="I47" s="77"/>
      <c r="J47" s="77"/>
      <c r="K47" s="77"/>
      <c r="L47" s="77"/>
      <c r="M47" s="77"/>
      <c r="N47" s="77"/>
      <c r="O47" s="77"/>
      <c r="P47" s="77"/>
      <c r="Q47" s="77"/>
      <c r="R47" s="77"/>
      <c r="S47" s="77"/>
      <c r="T47" s="77"/>
      <c r="U47" s="77"/>
      <c r="V47" s="77"/>
    </row>
    <row r="48" spans="1:22">
      <c r="A48" s="567">
        <v>54935</v>
      </c>
      <c r="B48" s="568" t="s">
        <v>822</v>
      </c>
      <c r="C48" s="569" t="s">
        <v>695</v>
      </c>
      <c r="D48" s="569" t="s">
        <v>36</v>
      </c>
      <c r="E48" s="570">
        <v>17871.035</v>
      </c>
      <c r="F48" s="571" t="s">
        <v>732</v>
      </c>
      <c r="G48" s="571" t="s">
        <v>743</v>
      </c>
      <c r="H48" s="77"/>
      <c r="I48" s="77"/>
      <c r="J48" s="77"/>
      <c r="K48" s="77"/>
      <c r="L48" s="77"/>
      <c r="M48" s="77"/>
      <c r="N48" s="77"/>
      <c r="O48" s="77"/>
      <c r="P48" s="77"/>
      <c r="Q48" s="77"/>
      <c r="R48" s="77"/>
      <c r="S48" s="77"/>
      <c r="T48" s="77"/>
      <c r="U48" s="77"/>
      <c r="V48" s="77"/>
    </row>
    <row r="49" spans="1:22">
      <c r="A49" s="567">
        <v>10464</v>
      </c>
      <c r="B49" s="568" t="s">
        <v>823</v>
      </c>
      <c r="C49" s="569" t="s">
        <v>701</v>
      </c>
      <c r="D49" s="569" t="s">
        <v>786</v>
      </c>
      <c r="E49" s="570">
        <v>53931</v>
      </c>
      <c r="F49" s="571" t="s">
        <v>732</v>
      </c>
      <c r="G49" s="571" t="s">
        <v>743</v>
      </c>
      <c r="H49" s="77"/>
      <c r="I49" s="77"/>
      <c r="J49" s="77"/>
      <c r="K49" s="77"/>
      <c r="L49" s="77"/>
      <c r="M49" s="77"/>
      <c r="N49" s="77"/>
      <c r="O49" s="77"/>
      <c r="P49" s="77"/>
      <c r="Q49" s="77"/>
      <c r="R49" s="77"/>
      <c r="S49" s="77"/>
      <c r="T49" s="77"/>
      <c r="U49" s="77"/>
      <c r="V49" s="77"/>
    </row>
    <row r="50" spans="1:22">
      <c r="A50" s="567">
        <v>54533</v>
      </c>
      <c r="B50" s="568" t="s">
        <v>824</v>
      </c>
      <c r="C50" s="569" t="s">
        <v>695</v>
      </c>
      <c r="D50" s="569" t="s">
        <v>36</v>
      </c>
      <c r="E50" s="570">
        <v>85614.14</v>
      </c>
      <c r="F50" s="571" t="s">
        <v>734</v>
      </c>
      <c r="G50" s="571" t="s">
        <v>743</v>
      </c>
      <c r="H50" s="77"/>
      <c r="I50" s="77"/>
      <c r="J50" s="77"/>
      <c r="K50" s="77"/>
      <c r="L50" s="77"/>
      <c r="M50" s="77"/>
      <c r="N50" s="77"/>
      <c r="O50" s="77"/>
      <c r="P50" s="77"/>
      <c r="Q50" s="77"/>
      <c r="R50" s="77"/>
      <c r="S50" s="77"/>
      <c r="T50" s="77"/>
      <c r="U50" s="77"/>
      <c r="V50" s="77"/>
    </row>
    <row r="51" spans="1:22">
      <c r="A51" s="567">
        <v>10381</v>
      </c>
      <c r="B51" s="568" t="s">
        <v>825</v>
      </c>
      <c r="C51" s="569" t="s">
        <v>701</v>
      </c>
      <c r="D51" s="569" t="s">
        <v>786</v>
      </c>
      <c r="E51" s="570">
        <v>32208</v>
      </c>
      <c r="F51" s="571" t="s">
        <v>734</v>
      </c>
      <c r="G51" s="571" t="s">
        <v>743</v>
      </c>
      <c r="H51" s="77"/>
      <c r="I51" s="77"/>
      <c r="J51" s="77"/>
      <c r="K51" s="77"/>
      <c r="L51" s="77"/>
      <c r="M51" s="77"/>
      <c r="N51" s="77"/>
      <c r="O51" s="77"/>
      <c r="P51" s="77"/>
      <c r="Q51" s="77"/>
      <c r="R51" s="77"/>
      <c r="S51" s="77"/>
      <c r="T51" s="77"/>
      <c r="U51" s="77"/>
      <c r="V51" s="77"/>
    </row>
    <row r="52" spans="1:22">
      <c r="A52" s="567">
        <v>54690</v>
      </c>
      <c r="B52" s="568" t="s">
        <v>826</v>
      </c>
      <c r="C52" s="569" t="s">
        <v>695</v>
      </c>
      <c r="D52" s="569" t="s">
        <v>36</v>
      </c>
      <c r="E52" s="570">
        <v>225654.09</v>
      </c>
      <c r="F52" s="571" t="s">
        <v>734</v>
      </c>
      <c r="G52" s="571" t="s">
        <v>743</v>
      </c>
      <c r="H52" s="77"/>
      <c r="I52" s="77"/>
      <c r="J52" s="77"/>
      <c r="K52" s="77"/>
      <c r="L52" s="77"/>
      <c r="M52" s="77"/>
      <c r="N52" s="77"/>
      <c r="O52" s="77"/>
      <c r="P52" s="77"/>
      <c r="Q52" s="77"/>
      <c r="R52" s="77"/>
      <c r="S52" s="77"/>
      <c r="T52" s="77"/>
      <c r="U52" s="77"/>
      <c r="V52" s="77"/>
    </row>
    <row r="53" spans="1:22">
      <c r="A53" s="567">
        <v>56319</v>
      </c>
      <c r="B53" s="568" t="s">
        <v>827</v>
      </c>
      <c r="C53" s="569" t="s">
        <v>695</v>
      </c>
      <c r="D53" s="569" t="s">
        <v>786</v>
      </c>
      <c r="E53" s="570">
        <v>2515.2890000000002</v>
      </c>
      <c r="F53" s="571" t="s">
        <v>734</v>
      </c>
      <c r="G53" s="571" t="s">
        <v>743</v>
      </c>
      <c r="H53" s="77"/>
      <c r="I53" s="77"/>
      <c r="J53" s="77"/>
      <c r="K53" s="77"/>
      <c r="L53" s="77"/>
      <c r="M53" s="77"/>
      <c r="N53" s="77"/>
      <c r="O53" s="77"/>
      <c r="P53" s="77"/>
      <c r="Q53" s="77"/>
      <c r="R53" s="77"/>
      <c r="S53" s="77"/>
      <c r="T53" s="77"/>
      <c r="U53" s="77"/>
      <c r="V53" s="77"/>
    </row>
    <row r="54" spans="1:22">
      <c r="A54" s="567">
        <v>57046</v>
      </c>
      <c r="B54" s="568" t="s">
        <v>828</v>
      </c>
      <c r="C54" s="569" t="s">
        <v>695</v>
      </c>
      <c r="D54" s="569" t="s">
        <v>74</v>
      </c>
      <c r="E54" s="570">
        <v>1875.1010000000001</v>
      </c>
      <c r="F54" s="571" t="s">
        <v>734</v>
      </c>
      <c r="G54" s="571" t="s">
        <v>743</v>
      </c>
      <c r="H54" s="77"/>
      <c r="I54" s="77"/>
      <c r="J54" s="77"/>
      <c r="K54" s="77"/>
      <c r="L54" s="77"/>
      <c r="M54" s="77"/>
      <c r="N54" s="77"/>
      <c r="O54" s="77"/>
      <c r="P54" s="77"/>
      <c r="Q54" s="77"/>
      <c r="R54" s="77"/>
      <c r="S54" s="77"/>
      <c r="T54" s="77"/>
      <c r="U54" s="77"/>
      <c r="V54" s="77"/>
    </row>
    <row r="55" spans="1:22">
      <c r="A55" s="567">
        <v>2059</v>
      </c>
      <c r="B55" s="568" t="s">
        <v>829</v>
      </c>
      <c r="C55" s="569" t="s">
        <v>701</v>
      </c>
      <c r="D55" s="569" t="s">
        <v>12</v>
      </c>
      <c r="E55" s="570">
        <v>16644.88</v>
      </c>
      <c r="F55" s="571" t="s">
        <v>734</v>
      </c>
      <c r="G55" s="571" t="s">
        <v>743</v>
      </c>
      <c r="H55" s="77"/>
      <c r="I55" s="77"/>
      <c r="J55" s="77"/>
      <c r="K55" s="77"/>
      <c r="L55" s="77"/>
      <c r="M55" s="77"/>
      <c r="N55" s="77"/>
      <c r="O55" s="77"/>
      <c r="P55" s="77"/>
      <c r="Q55" s="77"/>
      <c r="R55" s="77"/>
      <c r="S55" s="77"/>
      <c r="T55" s="77"/>
      <c r="U55" s="77"/>
      <c r="V55" s="77"/>
    </row>
    <row r="56" spans="1:22">
      <c r="A56" s="567">
        <v>10605</v>
      </c>
      <c r="B56" s="568" t="s">
        <v>830</v>
      </c>
      <c r="C56" s="569" t="s">
        <v>701</v>
      </c>
      <c r="D56" s="569" t="s">
        <v>74</v>
      </c>
      <c r="E56" s="570">
        <v>151934</v>
      </c>
      <c r="F56" s="571" t="s">
        <v>734</v>
      </c>
      <c r="G56" s="571" t="s">
        <v>743</v>
      </c>
      <c r="H56" s="77"/>
      <c r="I56" s="77"/>
      <c r="J56" s="77"/>
      <c r="K56" s="77"/>
      <c r="L56" s="77"/>
      <c r="M56" s="77"/>
      <c r="N56" s="77"/>
      <c r="O56" s="77"/>
      <c r="P56" s="77"/>
      <c r="Q56" s="77"/>
      <c r="R56" s="77"/>
      <c r="S56" s="77"/>
      <c r="T56" s="77"/>
      <c r="U56" s="77"/>
      <c r="V56" s="77"/>
    </row>
    <row r="57" spans="1:22">
      <c r="A57" s="567">
        <v>10822</v>
      </c>
      <c r="B57" s="568" t="s">
        <v>831</v>
      </c>
      <c r="C57" s="569" t="s">
        <v>701</v>
      </c>
      <c r="D57" s="569" t="s">
        <v>786</v>
      </c>
      <c r="E57" s="570">
        <v>96682</v>
      </c>
      <c r="F57" s="571" t="s">
        <v>734</v>
      </c>
      <c r="G57" s="571" t="s">
        <v>743</v>
      </c>
      <c r="H57" s="77"/>
      <c r="I57" s="77"/>
      <c r="J57" s="77"/>
      <c r="K57" s="77"/>
      <c r="L57" s="77"/>
      <c r="M57" s="77"/>
      <c r="N57" s="77"/>
      <c r="O57" s="77"/>
      <c r="P57" s="77"/>
      <c r="Q57" s="77"/>
      <c r="R57" s="77"/>
      <c r="S57" s="77"/>
      <c r="T57" s="77"/>
      <c r="U57" s="77"/>
      <c r="V57" s="77"/>
    </row>
    <row r="58" spans="1:22">
      <c r="A58" s="567">
        <v>4259</v>
      </c>
      <c r="B58" s="568" t="s">
        <v>832</v>
      </c>
      <c r="C58" s="569" t="s">
        <v>726</v>
      </c>
      <c r="D58" s="569" t="s">
        <v>73</v>
      </c>
      <c r="E58" s="570">
        <v>31440</v>
      </c>
      <c r="F58" s="571" t="s">
        <v>734</v>
      </c>
      <c r="G58" s="571" t="s">
        <v>743</v>
      </c>
      <c r="H58" s="77"/>
      <c r="I58" s="77"/>
      <c r="J58" s="77"/>
      <c r="K58" s="77"/>
      <c r="L58" s="77"/>
      <c r="M58" s="77"/>
      <c r="N58" s="77"/>
      <c r="O58" s="77"/>
      <c r="P58" s="77"/>
      <c r="Q58" s="77"/>
      <c r="R58" s="77"/>
      <c r="S58" s="77"/>
      <c r="T58" s="77"/>
      <c r="U58" s="77"/>
      <c r="V58" s="77"/>
    </row>
    <row r="59" spans="1:22">
      <c r="A59" s="567">
        <v>59233</v>
      </c>
      <c r="B59" s="568" t="s">
        <v>833</v>
      </c>
      <c r="C59" s="569" t="s">
        <v>726</v>
      </c>
      <c r="D59" s="74" t="s">
        <v>12</v>
      </c>
      <c r="E59" s="570">
        <v>68496</v>
      </c>
      <c r="F59" s="571" t="s">
        <v>734</v>
      </c>
      <c r="G59" s="571" t="s">
        <v>743</v>
      </c>
      <c r="H59" s="77"/>
      <c r="I59" s="77"/>
      <c r="J59" s="77"/>
      <c r="K59" s="77"/>
      <c r="L59" s="77"/>
      <c r="M59" s="77"/>
      <c r="N59" s="77"/>
      <c r="O59" s="77"/>
      <c r="P59" s="77"/>
      <c r="Q59" s="77"/>
      <c r="R59" s="77"/>
      <c r="S59" s="77"/>
      <c r="T59" s="77"/>
      <c r="U59" s="77"/>
      <c r="V59" s="77"/>
    </row>
    <row r="60" spans="1:22">
      <c r="A60" s="567">
        <v>50633</v>
      </c>
      <c r="B60" s="568" t="s">
        <v>834</v>
      </c>
      <c r="C60" s="569" t="s">
        <v>726</v>
      </c>
      <c r="D60" s="74" t="s">
        <v>12</v>
      </c>
      <c r="E60" s="570">
        <v>42434.59</v>
      </c>
      <c r="F60" s="571" t="s">
        <v>734</v>
      </c>
      <c r="G60" s="571" t="s">
        <v>743</v>
      </c>
      <c r="H60" s="77"/>
      <c r="I60" s="77"/>
      <c r="J60" s="77"/>
      <c r="K60" s="77"/>
      <c r="L60" s="77"/>
      <c r="M60" s="77"/>
      <c r="N60" s="77"/>
      <c r="O60" s="77"/>
      <c r="P60" s="77"/>
      <c r="Q60" s="77"/>
      <c r="R60" s="77"/>
      <c r="S60" s="77"/>
      <c r="T60" s="77"/>
      <c r="U60" s="77"/>
      <c r="V60" s="77"/>
    </row>
    <row r="61" spans="1:22">
      <c r="A61" s="567">
        <v>6285</v>
      </c>
      <c r="B61" s="568" t="s">
        <v>835</v>
      </c>
      <c r="C61" s="569" t="s">
        <v>695</v>
      </c>
      <c r="D61" s="569" t="s">
        <v>36</v>
      </c>
      <c r="E61" s="570">
        <v>317875</v>
      </c>
      <c r="F61" s="571" t="s">
        <v>777</v>
      </c>
      <c r="G61" s="571" t="s">
        <v>777</v>
      </c>
      <c r="H61" s="77"/>
      <c r="I61" s="77"/>
      <c r="J61" s="77"/>
      <c r="K61" s="77"/>
      <c r="L61" s="77"/>
      <c r="M61" s="77"/>
      <c r="N61" s="77"/>
      <c r="O61" s="77"/>
      <c r="P61" s="77"/>
      <c r="Q61" s="77"/>
      <c r="R61" s="77"/>
      <c r="S61" s="77"/>
      <c r="T61" s="77"/>
      <c r="U61" s="77"/>
      <c r="V61" s="77"/>
    </row>
    <row r="62" spans="1:22">
      <c r="A62" s="567">
        <v>57936</v>
      </c>
      <c r="B62" s="568" t="s">
        <v>836</v>
      </c>
      <c r="C62" s="569" t="s">
        <v>695</v>
      </c>
      <c r="D62" s="74" t="s">
        <v>12</v>
      </c>
      <c r="E62" s="570">
        <v>81033.225000000006</v>
      </c>
      <c r="F62" s="571" t="s">
        <v>777</v>
      </c>
      <c r="G62" s="571" t="s">
        <v>777</v>
      </c>
      <c r="H62" s="77"/>
      <c r="I62" s="77"/>
      <c r="J62" s="77"/>
      <c r="K62" s="77"/>
      <c r="L62" s="77"/>
      <c r="M62" s="77"/>
      <c r="N62" s="77"/>
      <c r="O62" s="77"/>
      <c r="P62" s="77"/>
      <c r="Q62" s="77"/>
      <c r="R62" s="77"/>
      <c r="S62" s="77"/>
      <c r="T62" s="77"/>
      <c r="U62" s="77"/>
      <c r="V62" s="77"/>
    </row>
    <row r="63" spans="1:22">
      <c r="A63" s="567">
        <v>57937</v>
      </c>
      <c r="B63" s="568" t="s">
        <v>837</v>
      </c>
      <c r="C63" s="569" t="s">
        <v>695</v>
      </c>
      <c r="D63" s="74" t="s">
        <v>12</v>
      </c>
      <c r="E63" s="570">
        <v>13758</v>
      </c>
      <c r="F63" s="571" t="s">
        <v>777</v>
      </c>
      <c r="G63" s="571" t="s">
        <v>777</v>
      </c>
      <c r="H63" s="77"/>
      <c r="I63" s="77"/>
      <c r="J63" s="77"/>
      <c r="K63" s="77"/>
      <c r="L63" s="77"/>
      <c r="M63" s="77"/>
      <c r="N63" s="77"/>
      <c r="O63" s="77"/>
      <c r="P63" s="77"/>
      <c r="Q63" s="77"/>
      <c r="R63" s="77"/>
      <c r="S63" s="77"/>
      <c r="T63" s="77"/>
      <c r="U63" s="77"/>
      <c r="V63" s="77"/>
    </row>
    <row r="64" spans="1:22">
      <c r="A64" s="77"/>
      <c r="B64" s="77"/>
      <c r="C64" s="77"/>
      <c r="D64" s="77"/>
      <c r="E64" s="77"/>
      <c r="F64" s="77"/>
      <c r="G64" s="77"/>
      <c r="H64" s="77"/>
      <c r="I64" s="77"/>
      <c r="J64" s="77"/>
      <c r="K64" s="77"/>
      <c r="L64" s="77"/>
      <c r="M64" s="77"/>
      <c r="N64" s="77"/>
      <c r="O64" s="77"/>
      <c r="P64" s="77"/>
      <c r="Q64" s="77"/>
      <c r="R64" s="77"/>
      <c r="S64" s="77"/>
      <c r="T64" s="77"/>
      <c r="U64" s="77"/>
      <c r="V64" s="77"/>
    </row>
    <row r="65" spans="1:22">
      <c r="A65" s="77"/>
      <c r="B65" s="77"/>
      <c r="C65" s="77"/>
      <c r="D65" s="77"/>
      <c r="E65" s="77"/>
      <c r="F65" s="77"/>
      <c r="G65" s="77"/>
      <c r="H65" s="77"/>
      <c r="I65" s="77"/>
      <c r="J65" s="77"/>
      <c r="K65" s="77"/>
      <c r="L65" s="77"/>
      <c r="M65" s="77"/>
      <c r="N65" s="77"/>
      <c r="O65" s="77"/>
      <c r="P65" s="77"/>
      <c r="Q65" s="77"/>
      <c r="R65" s="77"/>
      <c r="S65" s="77"/>
      <c r="T65" s="77"/>
      <c r="U65" s="77"/>
      <c r="V65" s="77"/>
    </row>
    <row r="66" spans="1:22" ht="15">
      <c r="A66" s="234" t="s">
        <v>781</v>
      </c>
      <c r="B66" s="234" t="s">
        <v>615</v>
      </c>
      <c r="C66" s="77"/>
      <c r="D66" s="77"/>
      <c r="E66" s="77"/>
      <c r="F66" s="77"/>
      <c r="G66" s="77"/>
      <c r="H66" s="77"/>
      <c r="I66" s="77"/>
      <c r="J66" s="77"/>
      <c r="K66" s="77"/>
      <c r="L66" s="77"/>
      <c r="M66" s="77"/>
      <c r="N66" s="77"/>
      <c r="O66" s="77"/>
      <c r="P66" s="77"/>
      <c r="Q66" s="77"/>
      <c r="R66" s="77"/>
      <c r="S66" s="77"/>
      <c r="T66" s="77"/>
      <c r="U66" s="77"/>
      <c r="V66" s="77"/>
    </row>
    <row r="67" spans="1:22">
      <c r="A67" s="77"/>
      <c r="B67" s="77"/>
      <c r="C67" s="77"/>
      <c r="D67" s="77"/>
      <c r="E67" s="77"/>
      <c r="F67" s="77"/>
      <c r="G67" s="77"/>
      <c r="H67" s="77"/>
      <c r="I67" s="77"/>
      <c r="J67" s="77"/>
      <c r="K67" s="77"/>
      <c r="L67" s="77"/>
      <c r="M67" s="77"/>
      <c r="N67" s="77"/>
      <c r="O67" s="77"/>
      <c r="P67" s="77"/>
      <c r="Q67" s="77"/>
      <c r="R67" s="77"/>
      <c r="S67" s="77"/>
      <c r="T67" s="77"/>
      <c r="U67" s="77"/>
      <c r="V67" s="77"/>
    </row>
    <row r="68" spans="1:22" ht="15">
      <c r="A68" s="77" t="s">
        <v>842</v>
      </c>
      <c r="B68" s="77" t="s">
        <v>841</v>
      </c>
      <c r="C68" s="77"/>
      <c r="D68" s="77"/>
      <c r="E68" s="77"/>
      <c r="F68" s="77"/>
      <c r="G68" s="77"/>
      <c r="H68" s="234"/>
      <c r="I68" s="77"/>
      <c r="J68" s="77"/>
      <c r="K68" s="77"/>
      <c r="L68" s="77"/>
      <c r="M68" s="77"/>
      <c r="N68" s="77"/>
      <c r="O68" s="77"/>
      <c r="P68" s="77"/>
      <c r="Q68" s="77"/>
      <c r="R68" s="77"/>
      <c r="S68" s="77"/>
      <c r="T68" s="77"/>
      <c r="U68" s="77"/>
      <c r="V68" s="77"/>
    </row>
    <row r="69" spans="1:22" ht="15">
      <c r="A69" s="77" t="s">
        <v>616</v>
      </c>
      <c r="B69" s="77" t="s">
        <v>74</v>
      </c>
      <c r="C69" s="77" t="s">
        <v>36</v>
      </c>
      <c r="D69" s="77" t="s">
        <v>12</v>
      </c>
      <c r="E69" s="77" t="s">
        <v>786</v>
      </c>
      <c r="F69" s="77" t="s">
        <v>73</v>
      </c>
      <c r="G69" s="77" t="s">
        <v>626</v>
      </c>
      <c r="H69" s="234"/>
      <c r="I69" s="77"/>
      <c r="J69" s="77"/>
      <c r="K69" s="77"/>
      <c r="L69" s="77"/>
      <c r="M69" s="77"/>
      <c r="N69" s="77"/>
      <c r="O69" s="77"/>
      <c r="P69" s="77"/>
      <c r="Q69" s="77"/>
      <c r="R69" s="77"/>
      <c r="S69" s="77"/>
      <c r="T69" s="77"/>
      <c r="U69" s="77"/>
      <c r="V69" s="77"/>
    </row>
    <row r="70" spans="1:22" ht="15">
      <c r="A70" s="530" t="s">
        <v>734</v>
      </c>
      <c r="B70" s="573">
        <v>153809.101</v>
      </c>
      <c r="C70" s="573">
        <v>500550.23</v>
      </c>
      <c r="D70" s="573">
        <v>127575.47</v>
      </c>
      <c r="E70" s="573">
        <v>131405.28899999999</v>
      </c>
      <c r="F70" s="573">
        <v>31440</v>
      </c>
      <c r="G70" s="573">
        <v>944780.09</v>
      </c>
      <c r="H70" s="234"/>
      <c r="I70" s="77"/>
      <c r="J70" s="77"/>
      <c r="K70" s="77"/>
      <c r="L70" s="77"/>
      <c r="M70" s="77"/>
      <c r="N70" s="77"/>
      <c r="O70" s="77"/>
      <c r="P70" s="77"/>
      <c r="Q70" s="77"/>
      <c r="R70" s="77"/>
      <c r="S70" s="77"/>
      <c r="T70" s="77"/>
      <c r="U70" s="77"/>
      <c r="V70" s="77"/>
    </row>
    <row r="71" spans="1:22" ht="15">
      <c r="A71" s="531" t="s">
        <v>743</v>
      </c>
      <c r="B71" s="573">
        <v>153809.101</v>
      </c>
      <c r="C71" s="573">
        <v>500550.23</v>
      </c>
      <c r="D71" s="573">
        <v>127575.47</v>
      </c>
      <c r="E71" s="573">
        <v>131405.28899999999</v>
      </c>
      <c r="F71" s="573">
        <v>31440</v>
      </c>
      <c r="G71" s="573">
        <v>944780.09</v>
      </c>
      <c r="H71" s="234"/>
      <c r="I71" s="77"/>
      <c r="J71" s="77"/>
      <c r="K71" s="77"/>
      <c r="L71" s="77"/>
      <c r="M71" s="77"/>
      <c r="N71" s="77"/>
      <c r="O71" s="77"/>
      <c r="P71" s="77"/>
      <c r="Q71" s="77"/>
      <c r="R71" s="77"/>
      <c r="S71" s="77"/>
      <c r="T71" s="77"/>
      <c r="U71" s="77"/>
      <c r="V71" s="77"/>
    </row>
    <row r="72" spans="1:22" ht="15">
      <c r="A72" s="574" t="s">
        <v>736</v>
      </c>
      <c r="B72" s="575"/>
      <c r="C72" s="575">
        <v>219524.57</v>
      </c>
      <c r="D72" s="575"/>
      <c r="E72" s="575"/>
      <c r="F72" s="575"/>
      <c r="G72" s="575">
        <v>219524.57</v>
      </c>
      <c r="H72" s="234"/>
      <c r="I72" s="77"/>
      <c r="J72" s="77"/>
      <c r="K72" s="77"/>
      <c r="L72" s="77"/>
      <c r="M72" s="77"/>
      <c r="N72" s="77"/>
      <c r="O72" s="77"/>
      <c r="P72" s="77"/>
      <c r="Q72" s="77"/>
      <c r="R72" s="77"/>
      <c r="S72" s="77"/>
      <c r="T72" s="77"/>
      <c r="U72" s="77"/>
      <c r="V72" s="77"/>
    </row>
    <row r="73" spans="1:22" ht="15">
      <c r="A73" s="531" t="s">
        <v>745</v>
      </c>
      <c r="B73" s="573"/>
      <c r="C73" s="573">
        <v>219524.57</v>
      </c>
      <c r="D73" s="573"/>
      <c r="E73" s="573"/>
      <c r="F73" s="573"/>
      <c r="G73" s="573">
        <v>219524.57</v>
      </c>
      <c r="H73" s="234"/>
      <c r="I73" s="77"/>
      <c r="J73" s="77"/>
      <c r="K73" s="77"/>
      <c r="L73" s="77"/>
      <c r="M73" s="77"/>
      <c r="N73" s="77"/>
      <c r="O73" s="77"/>
      <c r="P73" s="77"/>
      <c r="Q73" s="77"/>
      <c r="R73" s="77"/>
      <c r="S73" s="77"/>
      <c r="T73" s="77"/>
      <c r="U73" s="77"/>
      <c r="V73" s="77"/>
    </row>
    <row r="74" spans="1:22" ht="15">
      <c r="A74" s="530" t="s">
        <v>732</v>
      </c>
      <c r="B74" s="573">
        <v>307563.40299999999</v>
      </c>
      <c r="C74" s="573">
        <v>1531953.8649999998</v>
      </c>
      <c r="D74" s="573">
        <v>1147330.2420000001</v>
      </c>
      <c r="E74" s="573">
        <v>135554.77100000001</v>
      </c>
      <c r="F74" s="573"/>
      <c r="G74" s="573">
        <v>3122402.281</v>
      </c>
      <c r="H74" s="234"/>
      <c r="I74" s="77"/>
      <c r="J74" s="77"/>
      <c r="K74" s="77"/>
      <c r="L74" s="77"/>
      <c r="M74" s="77"/>
      <c r="N74" s="77"/>
      <c r="O74" s="77"/>
      <c r="P74" s="77"/>
      <c r="Q74" s="77"/>
      <c r="R74" s="77"/>
      <c r="S74" s="77"/>
      <c r="T74" s="77"/>
      <c r="U74" s="77"/>
      <c r="V74" s="77"/>
    </row>
    <row r="75" spans="1:22" ht="15">
      <c r="A75" s="576" t="s">
        <v>743</v>
      </c>
      <c r="B75" s="573">
        <v>29091.532999999999</v>
      </c>
      <c r="C75" s="573">
        <v>1516988.8649999998</v>
      </c>
      <c r="D75" s="573">
        <v>1146876.6580000001</v>
      </c>
      <c r="E75" s="573">
        <v>135554.77100000001</v>
      </c>
      <c r="F75" s="573"/>
      <c r="G75" s="573">
        <v>2828511.827</v>
      </c>
      <c r="H75" s="234"/>
      <c r="I75" s="77"/>
      <c r="J75" s="77"/>
      <c r="K75" s="77"/>
      <c r="L75" s="77"/>
      <c r="M75" s="77"/>
      <c r="N75" s="77"/>
      <c r="O75" s="77"/>
      <c r="P75" s="77"/>
      <c r="Q75" s="77"/>
      <c r="R75" s="77"/>
      <c r="S75" s="77"/>
      <c r="T75" s="77"/>
      <c r="U75" s="77"/>
      <c r="V75" s="77"/>
    </row>
    <row r="76" spans="1:22" ht="15">
      <c r="A76" s="576" t="s">
        <v>746</v>
      </c>
      <c r="B76" s="573">
        <v>278471.87</v>
      </c>
      <c r="C76" s="573">
        <v>14965</v>
      </c>
      <c r="D76" s="573">
        <v>453.584</v>
      </c>
      <c r="E76" s="573"/>
      <c r="F76" s="573"/>
      <c r="G76" s="573">
        <v>293890.45399999997</v>
      </c>
      <c r="H76" s="234"/>
      <c r="I76" s="77"/>
      <c r="J76" s="77"/>
      <c r="K76" s="77"/>
      <c r="L76" s="77"/>
      <c r="M76" s="77"/>
      <c r="N76" s="77"/>
      <c r="O76" s="77"/>
      <c r="P76" s="77"/>
      <c r="Q76" s="77"/>
      <c r="R76" s="77"/>
      <c r="S76" s="77"/>
      <c r="T76" s="77"/>
      <c r="U76" s="77"/>
      <c r="V76" s="77"/>
    </row>
    <row r="77" spans="1:22" ht="15">
      <c r="A77" s="530" t="s">
        <v>626</v>
      </c>
      <c r="B77" s="573">
        <v>461372.50399999996</v>
      </c>
      <c r="C77" s="573">
        <v>2252028.665</v>
      </c>
      <c r="D77" s="573">
        <v>1274905.7120000001</v>
      </c>
      <c r="E77" s="573">
        <v>266960.06</v>
      </c>
      <c r="F77" s="573">
        <v>31440</v>
      </c>
      <c r="G77" s="573">
        <v>4286706.9409999996</v>
      </c>
      <c r="H77" s="234"/>
      <c r="I77" s="77"/>
      <c r="J77" s="77"/>
      <c r="K77" s="77"/>
      <c r="L77" s="77"/>
      <c r="M77" s="77"/>
      <c r="N77" s="77"/>
      <c r="O77" s="77"/>
      <c r="P77" s="77"/>
      <c r="Q77" s="77"/>
      <c r="R77" s="77"/>
      <c r="S77" s="77"/>
      <c r="T77" s="77"/>
      <c r="U77" s="77"/>
      <c r="V77" s="77"/>
    </row>
    <row r="78" spans="1:22" ht="15">
      <c r="A78" s="234"/>
      <c r="B78" s="234"/>
      <c r="C78" s="234"/>
      <c r="D78" s="234"/>
      <c r="E78" s="234"/>
      <c r="F78" s="234"/>
      <c r="G78" s="234"/>
      <c r="H78" s="234"/>
      <c r="I78" s="77"/>
      <c r="J78" s="77"/>
      <c r="K78" s="77"/>
      <c r="L78" s="77"/>
      <c r="M78" s="77"/>
      <c r="N78" s="77"/>
      <c r="O78" s="77"/>
      <c r="P78" s="77"/>
      <c r="Q78" s="77"/>
      <c r="R78" s="77"/>
      <c r="S78" s="77"/>
      <c r="T78" s="77"/>
      <c r="U78" s="77"/>
      <c r="V78" s="77"/>
    </row>
    <row r="79" spans="1:22" ht="15">
      <c r="A79" s="234"/>
      <c r="B79" s="234"/>
      <c r="C79" s="234"/>
      <c r="D79" s="234"/>
      <c r="E79" s="234"/>
      <c r="F79" s="234"/>
      <c r="G79" s="234"/>
      <c r="H79" s="234"/>
      <c r="I79" s="77"/>
      <c r="J79" s="77"/>
      <c r="K79" s="77"/>
      <c r="L79" s="77"/>
      <c r="M79" s="77"/>
      <c r="N79" s="77"/>
      <c r="O79" s="77"/>
      <c r="P79" s="77"/>
      <c r="Q79" s="77"/>
      <c r="R79" s="77"/>
      <c r="S79" s="77"/>
      <c r="T79" s="77"/>
      <c r="U79" s="77"/>
      <c r="V79" s="77"/>
    </row>
    <row r="80" spans="1:22" ht="15">
      <c r="A80" s="234"/>
      <c r="B80" s="234"/>
      <c r="C80" s="234"/>
      <c r="D80" s="234"/>
      <c r="E80" s="234"/>
      <c r="F80" s="234"/>
      <c r="G80" s="234"/>
      <c r="H80" s="234"/>
      <c r="I80" s="77"/>
      <c r="J80" s="77"/>
      <c r="K80" s="77"/>
      <c r="L80" s="77"/>
      <c r="M80" s="77"/>
      <c r="N80" s="77"/>
      <c r="O80" s="77"/>
      <c r="P80" s="77"/>
      <c r="Q80" s="77"/>
      <c r="R80" s="77"/>
      <c r="S80" s="77"/>
      <c r="T80" s="77"/>
      <c r="U80" s="77"/>
      <c r="V80" s="77"/>
    </row>
    <row r="81" spans="1:22" ht="15">
      <c r="A81" s="234"/>
      <c r="B81" s="234" t="s">
        <v>846</v>
      </c>
      <c r="C81" s="234" t="s">
        <v>847</v>
      </c>
      <c r="D81" s="77"/>
      <c r="E81" s="77"/>
      <c r="F81" s="77"/>
      <c r="G81" s="77"/>
      <c r="H81" s="77"/>
      <c r="I81" s="77"/>
      <c r="J81" s="77"/>
      <c r="K81" s="77"/>
      <c r="L81" s="77"/>
      <c r="M81" s="77"/>
      <c r="N81" s="77"/>
      <c r="O81" s="77"/>
      <c r="P81" s="77"/>
      <c r="Q81" s="77"/>
      <c r="R81" s="77"/>
      <c r="S81" s="77"/>
      <c r="T81" s="77"/>
      <c r="U81" s="77"/>
      <c r="V81" s="77"/>
    </row>
    <row r="82" spans="1:22">
      <c r="A82" s="77" t="s">
        <v>843</v>
      </c>
      <c r="B82" s="77">
        <v>357814353</v>
      </c>
      <c r="C82" s="77">
        <v>8182356</v>
      </c>
      <c r="D82" s="77"/>
      <c r="E82" s="77"/>
      <c r="F82" s="77"/>
      <c r="G82" s="77"/>
      <c r="H82" s="77"/>
      <c r="I82" s="77"/>
      <c r="J82" s="77"/>
      <c r="K82" s="77"/>
      <c r="L82" s="77"/>
      <c r="M82" s="77"/>
      <c r="N82" s="77"/>
      <c r="O82" s="77"/>
      <c r="P82" s="77"/>
      <c r="Q82" s="77"/>
      <c r="R82" s="77"/>
      <c r="S82" s="77"/>
      <c r="T82" s="77"/>
      <c r="U82" s="77"/>
      <c r="V82" s="77"/>
    </row>
    <row r="83" spans="1:22">
      <c r="A83" s="77" t="s">
        <v>844</v>
      </c>
      <c r="B83" s="77"/>
      <c r="C83" s="77"/>
      <c r="D83" s="77"/>
      <c r="E83" s="77"/>
      <c r="F83" s="77"/>
      <c r="G83" s="77"/>
      <c r="H83" s="77"/>
      <c r="I83" s="77"/>
      <c r="J83" s="77"/>
      <c r="K83" s="77"/>
      <c r="L83" s="77"/>
      <c r="M83" s="77"/>
      <c r="N83" s="77"/>
      <c r="O83" s="77"/>
      <c r="P83" s="77"/>
      <c r="Q83" s="77"/>
      <c r="R83" s="77"/>
      <c r="S83" s="77"/>
      <c r="T83" s="77"/>
      <c r="U83" s="77"/>
      <c r="V83" s="77"/>
    </row>
    <row r="84" spans="1:22">
      <c r="A84" s="77"/>
      <c r="B84" s="77"/>
      <c r="C84" s="77"/>
      <c r="D84" s="77"/>
      <c r="E84" s="77"/>
      <c r="F84" s="77"/>
      <c r="G84" s="77"/>
      <c r="H84" s="77"/>
      <c r="I84" s="77"/>
      <c r="J84" s="77"/>
      <c r="K84" s="77"/>
      <c r="L84" s="77"/>
      <c r="M84" s="77"/>
      <c r="N84" s="77"/>
      <c r="O84" s="77"/>
      <c r="P84" s="77"/>
      <c r="Q84" s="77"/>
      <c r="R84" s="77"/>
      <c r="S84" s="77"/>
      <c r="T84" s="77"/>
      <c r="U84" s="77"/>
      <c r="V84" s="77"/>
    </row>
    <row r="85" spans="1:22">
      <c r="A85" s="77"/>
      <c r="B85" s="77"/>
      <c r="C85" s="844" t="s">
        <v>12</v>
      </c>
      <c r="D85" s="844"/>
      <c r="E85" s="844" t="s">
        <v>36</v>
      </c>
      <c r="F85" s="844"/>
      <c r="G85" s="844" t="s">
        <v>73</v>
      </c>
      <c r="H85" s="844"/>
      <c r="I85" s="844" t="s">
        <v>74</v>
      </c>
      <c r="J85" s="844"/>
      <c r="K85" s="844" t="s">
        <v>385</v>
      </c>
      <c r="L85" s="844"/>
      <c r="M85" s="77"/>
      <c r="N85" s="77"/>
      <c r="O85" s="77"/>
      <c r="P85" s="77"/>
      <c r="Q85" s="77"/>
      <c r="R85" s="77"/>
      <c r="S85" s="77"/>
      <c r="T85" s="77"/>
      <c r="U85" s="77"/>
      <c r="V85" s="77"/>
    </row>
    <row r="86" spans="1:22">
      <c r="A86" s="577" t="s">
        <v>11</v>
      </c>
      <c r="B86" s="578" t="s">
        <v>2</v>
      </c>
      <c r="C86" s="579" t="s">
        <v>234</v>
      </c>
      <c r="D86" s="579" t="s">
        <v>235</v>
      </c>
      <c r="E86" s="580" t="s">
        <v>234</v>
      </c>
      <c r="F86" s="580" t="s">
        <v>235</v>
      </c>
      <c r="G86" s="580" t="s">
        <v>234</v>
      </c>
      <c r="H86" s="580" t="s">
        <v>235</v>
      </c>
      <c r="I86" s="580" t="s">
        <v>234</v>
      </c>
      <c r="J86" s="580" t="s">
        <v>235</v>
      </c>
      <c r="K86" s="580" t="s">
        <v>234</v>
      </c>
      <c r="L86" s="580" t="s">
        <v>235</v>
      </c>
      <c r="M86" s="77"/>
      <c r="N86" s="77"/>
      <c r="O86" s="77"/>
      <c r="P86" s="77"/>
      <c r="Q86" s="77"/>
      <c r="R86" s="77"/>
      <c r="S86" s="77"/>
      <c r="T86" s="77"/>
      <c r="U86" s="77"/>
      <c r="V86" s="77"/>
    </row>
    <row r="87" spans="1:22">
      <c r="A87" s="581" t="s">
        <v>8</v>
      </c>
      <c r="B87" s="582" t="s">
        <v>0</v>
      </c>
      <c r="C87" s="583">
        <f>B$82*GETPIVOTDATA("2014 MWh net generation",$A$68,"Grubert fuel classification based on web searches for the plant name","Oil","Sanders water source classification","SW","Sanders water quality classification","FR")/GETPIVOTDATA("2014 MWh net generation",$A$68)</f>
        <v>95730577.107597142</v>
      </c>
      <c r="D87" s="584">
        <f>C$82*GETPIVOTDATA("2014 MWh net generation",$A$68,"Grubert fuel classification based on web searches for the plant name","Oil","Sanders water source classification","SW","Sanders water quality classification","FR")/GETPIVOTDATA("2014 MWh net generation",$A$68)</f>
        <v>2189128.6791947386</v>
      </c>
      <c r="E87" s="585">
        <f>B$82*GETPIVOTDATA("2014 MWh net generation",$A$68,"Grubert fuel classification based on web searches for the plant name","Natural gas","Sanders water source classification","SW","Sanders water quality classification","FR")/GETPIVOTDATA("2014 MWh net generation",$A$68)</f>
        <v>126624095.53743723</v>
      </c>
      <c r="F87" s="586">
        <f>C$82*GETPIVOTDATA("2014 MWh net generation",$A$68,"Grubert fuel classification based on web searches for the plant name","Natural gas","Sanders water source classification","SW","Sanders water quality classification","FR")/GETPIVOTDATA("2014 MWh net generation",$A$68)</f>
        <v>2895589.3445261619</v>
      </c>
      <c r="G87" s="585"/>
      <c r="H87" s="586"/>
      <c r="I87" s="585">
        <f>B$82*GETPIVOTDATA("2014 MWh net generation",$A$68,"Grubert fuel classification based on web searches for the plant name","Bituminous coal","Sanders water source classification","SW","Sanders water quality classification","FR")/GETPIVOTDATA("2014 MWh net generation",$A$68)</f>
        <v>2428290.1074046502</v>
      </c>
      <c r="J87" s="586">
        <f>C$82*GETPIVOTDATA("2014 MWh net generation",$A$68,"Grubert fuel classification based on web searches for the plant name","Bituminous coal","Sanders water source classification","SW","Sanders water quality classification","FR")/GETPIVOTDATA("2014 MWh net generation",$A$68)</f>
        <v>55529.17026238767</v>
      </c>
      <c r="K87" s="585">
        <f>B$82*GETPIVOTDATA("2014 MWh net generation",$A$68,"Grubert fuel classification based on web searches for the plant name","Solid Biomass","Sanders water source classification","SW","Sanders water quality classification","FR")/GETPIVOTDATA("2014 MWh net generation",$A$68)</f>
        <v>11314849.218527012</v>
      </c>
      <c r="L87" s="586">
        <f>C$82*GETPIVOTDATA("2014 MWh net generation",$A$68,"Grubert fuel classification based on web searches for the plant name","Solid Biomass","Sanders water source classification","SW","Sanders water quality classification","FR")/GETPIVOTDATA("2014 MWh net generation",$A$68)</f>
        <v>258743.46184293454</v>
      </c>
      <c r="M87" s="77"/>
      <c r="N87" s="77"/>
      <c r="O87" s="77"/>
      <c r="P87" s="77"/>
      <c r="Q87" s="77"/>
      <c r="R87" s="77"/>
      <c r="S87" s="77"/>
      <c r="T87" s="77"/>
      <c r="U87" s="77"/>
      <c r="V87" s="77"/>
    </row>
    <row r="88" spans="1:22">
      <c r="A88" s="587" t="s">
        <v>8</v>
      </c>
      <c r="B88" s="588" t="s">
        <v>7</v>
      </c>
      <c r="C88" s="589"/>
      <c r="D88" s="590"/>
      <c r="E88" s="591"/>
      <c r="F88" s="592"/>
      <c r="G88" s="591"/>
      <c r="H88" s="592"/>
      <c r="I88" s="591"/>
      <c r="J88" s="592"/>
      <c r="K88" s="591"/>
      <c r="L88" s="592"/>
      <c r="M88" s="77"/>
      <c r="N88" s="77"/>
      <c r="O88" s="77"/>
      <c r="P88" s="77"/>
      <c r="Q88" s="77"/>
      <c r="R88" s="77"/>
      <c r="S88" s="77"/>
      <c r="T88" s="77"/>
      <c r="U88" s="77"/>
      <c r="V88" s="77"/>
    </row>
    <row r="89" spans="1:22">
      <c r="A89" s="587" t="s">
        <v>8</v>
      </c>
      <c r="B89" s="588" t="s">
        <v>1</v>
      </c>
      <c r="C89" s="589">
        <f>B$82*GETPIVOTDATA("2014 MWh net generation",$A$68,"Grubert fuel classification based on web searches for the plant name","Oil","Sanders water source classification","SW","Sanders water quality classification","SA")/GETPIVOTDATA("2014 MWh net generation",$A$68)</f>
        <v>37860.965940744027</v>
      </c>
      <c r="D89" s="590">
        <f>C$82*GETPIVOTDATA("2014 MWh net generation",$A$68,"Grubert fuel classification based on web searches for the plant name","Oil","Sanders water source classification","SW","Sanders water quality classification","SA")/GETPIVOTDATA("2014 MWh net generation",$A$68)</f>
        <v>865.78947779392888</v>
      </c>
      <c r="E89" s="591">
        <f>B$82*GETPIVOTDATA("2014 MWh net generation",$A$68,"Grubert fuel classification based on web searches for the plant name","Natural gas","Sanders water source classification","SW","Sanders water quality classification","SA")/GETPIVOTDATA("2014 MWh net generation",$A$68)</f>
        <v>1249138.7599722089</v>
      </c>
      <c r="F89" s="592">
        <f>C$82*GETPIVOTDATA("2014 MWh net generation",$A$68,"Grubert fuel classification based on web searches for the plant name","Natural gas","Sanders water source classification","SW","Sanders water quality classification","SA")/GETPIVOTDATA("2014 MWh net generation",$A$68)</f>
        <v>28564.807257721051</v>
      </c>
      <c r="G89" s="591"/>
      <c r="H89" s="592"/>
      <c r="I89" s="591">
        <f>B$82*GETPIVOTDATA("2014 MWh net generation",$A$68,"Grubert fuel classification based on web searches for the plant name","Bituminous coal","Sanders water source classification","SW","Sanders water quality classification","SA")/GETPIVOTDATA("2014 MWh net generation",$A$68)</f>
        <v>23244236.978211969</v>
      </c>
      <c r="J89" s="592">
        <f>C$82*GETPIVOTDATA("2014 MWh net generation",$A$68,"Grubert fuel classification based on web searches for the plant name","Bituminous coal","Sanders water source classification","SW","Sanders water quality classification","SA")/GETPIVOTDATA("2014 MWh net generation",$A$68)</f>
        <v>531539.94609068846</v>
      </c>
      <c r="K89" s="591"/>
      <c r="L89" s="592"/>
      <c r="M89" s="77"/>
      <c r="N89" s="77"/>
      <c r="O89" s="77"/>
      <c r="P89" s="77"/>
      <c r="Q89" s="77"/>
      <c r="R89" s="77"/>
      <c r="S89" s="77"/>
      <c r="T89" s="77"/>
      <c r="U89" s="77"/>
      <c r="V89" s="77"/>
    </row>
    <row r="90" spans="1:22">
      <c r="A90" s="587" t="s">
        <v>8</v>
      </c>
      <c r="B90" s="588" t="s">
        <v>13</v>
      </c>
      <c r="C90" s="589"/>
      <c r="D90" s="590"/>
      <c r="E90" s="591"/>
      <c r="F90" s="592"/>
      <c r="G90" s="591"/>
      <c r="H90" s="592"/>
      <c r="I90" s="591"/>
      <c r="J90" s="592"/>
      <c r="K90" s="591"/>
      <c r="L90" s="592"/>
      <c r="M90" s="77"/>
      <c r="N90" s="77"/>
      <c r="O90" s="77"/>
      <c r="P90" s="77"/>
      <c r="Q90" s="77"/>
      <c r="R90" s="77"/>
      <c r="S90" s="77"/>
      <c r="T90" s="77"/>
      <c r="U90" s="77"/>
      <c r="V90" s="77"/>
    </row>
    <row r="91" spans="1:22">
      <c r="A91" s="587" t="s">
        <v>9</v>
      </c>
      <c r="B91" s="582" t="s">
        <v>0</v>
      </c>
      <c r="C91" s="589">
        <f>B$82*GETPIVOTDATA("2014 MWh net generation",$A$68,"Grubert fuel classification based on web searches for the plant name","Oil","Sanders water source classification","GW","Sanders water quality classification","FR")/GETPIVOTDATA("2014 MWh net generation",$A$68)</f>
        <v>10648811.520125074</v>
      </c>
      <c r="D91" s="590">
        <f>C$82*GETPIVOTDATA("2014 MWh net generation",$A$68,"Grubert fuel classification based on web searches for the plant name","Oil","Sanders water source classification","GW","Sanders water quality classification","FR")/GETPIVOTDATA("2014 MWh net generation",$A$68)</f>
        <v>243512.77723776642</v>
      </c>
      <c r="E91" s="591">
        <f>B$82*GETPIVOTDATA("2014 MWh net generation",$A$68,"Grubert fuel classification based on web searches for the plant name","Natural gas","Sanders water source classification","GW","Sanders water quality classification","FR")/GETPIVOTDATA("2014 MWh net generation",$A$68)</f>
        <v>41781269.201871291</v>
      </c>
      <c r="F91" s="592">
        <f>C$82*GETPIVOTDATA("2014 MWh net generation",$A$68,"Grubert fuel classification based on web searches for the plant name","Natural gas","Sanders water source classification","GW","Sanders water quality classification","FR")/GETPIVOTDATA("2014 MWh net generation",$A$68)</f>
        <v>955437.41014085815</v>
      </c>
      <c r="G91" s="591">
        <f>B$82*GETPIVOTDATA("2014 MWh net generation",$A$68,"Grubert fuel classification based on web searches for the plant name","Subbituminous coal","Sanders water source classification","GW","Sanders water quality classification","FR")/GETPIVOTDATA("2014 MWh net generation",$A$68)</f>
        <v>2624318.2501521045</v>
      </c>
      <c r="H91" s="592">
        <f>C$82*GETPIVOTDATA("2014 MWh net generation",$A$68,"Grubert fuel classification based on web searches for the plant name","Subbituminous coal","Sanders water source classification","GW","Sanders water quality classification","FR")/GETPIVOTDATA("2014 MWh net generation",$A$68)</f>
        <v>60011.863694136307</v>
      </c>
      <c r="I91" s="591">
        <f>B$82*GETPIVOTDATA("2014 MWh net generation",$A$68,"Grubert fuel classification based on web searches for the plant name","Bituminous coal","Sanders water source classification","GW","Sanders water quality classification","FR")/GETPIVOTDATA("2014 MWh net generation",$A$68)</f>
        <v>12838550.597766804</v>
      </c>
      <c r="J91" s="592">
        <f>C$82*GETPIVOTDATA("2014 MWh net generation",$A$68,"Grubert fuel classification based on web searches for the plant name","Bituminous coal","Sanders water source classification","GW","Sanders water quality classification","FR")/GETPIVOTDATA("2014 MWh net generation",$A$68)</f>
        <v>293586.85763771133</v>
      </c>
      <c r="K91" s="591">
        <f>B$82*GETPIVOTDATA("2014 MWh net generation",$A$68,"Grubert fuel classification based on web searches for the plant name","Solid Biomass","Sanders water source classification","GW","Sanders water quality classification","FR")/GETPIVOTDATA("2014 MWh net generation",$A$68)</f>
        <v>10968489.124974923</v>
      </c>
      <c r="L91" s="592">
        <f>C$82*GETPIVOTDATA("2014 MWh net generation",$A$68,"Grubert fuel classification based on web searches for the plant name","Solid Biomass","Sanders water source classification","GW","Sanders water quality classification","FR")/GETPIVOTDATA("2014 MWh net generation",$A$68)</f>
        <v>250823.03728233426</v>
      </c>
      <c r="M91" s="77"/>
      <c r="N91" s="77"/>
      <c r="O91" s="77"/>
      <c r="P91" s="77"/>
      <c r="Q91" s="77"/>
      <c r="R91" s="77"/>
      <c r="S91" s="77"/>
      <c r="T91" s="77"/>
      <c r="U91" s="77"/>
      <c r="V91" s="77"/>
    </row>
    <row r="92" spans="1:22">
      <c r="A92" s="587" t="s">
        <v>9</v>
      </c>
      <c r="B92" s="588" t="s">
        <v>7</v>
      </c>
      <c r="C92" s="589"/>
      <c r="D92" s="590"/>
      <c r="E92" s="591"/>
      <c r="F92" s="592"/>
      <c r="G92" s="591"/>
      <c r="H92" s="592"/>
      <c r="I92" s="591"/>
      <c r="J92" s="592"/>
      <c r="K92" s="591"/>
      <c r="L92" s="592"/>
      <c r="M92" s="77"/>
      <c r="N92" s="77"/>
      <c r="O92" s="77"/>
      <c r="P92" s="77"/>
      <c r="Q92" s="77"/>
      <c r="R92" s="77"/>
      <c r="S92" s="77"/>
      <c r="T92" s="77"/>
      <c r="U92" s="77"/>
      <c r="V92" s="77"/>
    </row>
    <row r="93" spans="1:22">
      <c r="A93" s="587" t="s">
        <v>9</v>
      </c>
      <c r="B93" s="588" t="s">
        <v>1</v>
      </c>
      <c r="C93" s="589"/>
      <c r="D93" s="590"/>
      <c r="E93" s="591"/>
      <c r="F93" s="592"/>
      <c r="G93" s="591"/>
      <c r="H93" s="592"/>
      <c r="I93" s="591"/>
      <c r="J93" s="592"/>
      <c r="K93" s="591"/>
      <c r="L93" s="592"/>
      <c r="M93" s="77"/>
      <c r="N93" s="77"/>
      <c r="O93" s="77"/>
      <c r="P93" s="77"/>
      <c r="Q93" s="77"/>
      <c r="R93" s="77"/>
      <c r="S93" s="77"/>
      <c r="T93" s="77"/>
      <c r="U93" s="77"/>
      <c r="V93" s="77"/>
    </row>
    <row r="94" spans="1:22">
      <c r="A94" s="587" t="s">
        <v>9</v>
      </c>
      <c r="B94" s="588" t="s">
        <v>13</v>
      </c>
      <c r="C94" s="589"/>
      <c r="D94" s="590"/>
      <c r="E94" s="591"/>
      <c r="F94" s="592"/>
      <c r="G94" s="591"/>
      <c r="H94" s="592"/>
      <c r="I94" s="591"/>
      <c r="J94" s="592"/>
      <c r="K94" s="591"/>
      <c r="L94" s="592"/>
      <c r="M94" s="77"/>
      <c r="N94" s="77"/>
      <c r="O94" s="77"/>
      <c r="P94" s="77"/>
      <c r="Q94" s="77"/>
      <c r="R94" s="77"/>
      <c r="S94" s="77"/>
      <c r="T94" s="77"/>
      <c r="U94" s="77"/>
      <c r="V94" s="77"/>
    </row>
    <row r="95" spans="1:22">
      <c r="A95" s="587" t="s">
        <v>10</v>
      </c>
      <c r="B95" s="582" t="s">
        <v>0</v>
      </c>
      <c r="C95" s="589"/>
      <c r="D95" s="590"/>
      <c r="E95" s="591">
        <f>B$82*GETPIVOTDATA("2014 MWh net generation",$A$68,"Grubert fuel classification based on web searches for the plant name","Natural gas","Sanders water source classification","PD","Sanders water quality classification","BE")/GETPIVOTDATA("2014 MWh net generation",$A$68)</f>
        <v>18323865.630018868</v>
      </c>
      <c r="F95" s="592">
        <f>C$82*GETPIVOTDATA("2014 MWh net generation",$A$68,"Grubert fuel classification based on web searches for the plant name","Natural gas","Sanders water source classification","PD","Sanders water quality classification","BE")/GETPIVOTDATA("2014 MWh net generation",$A$68)</f>
        <v>419022.85535476735</v>
      </c>
      <c r="G95" s="591"/>
      <c r="H95" s="592"/>
      <c r="I95" s="591"/>
      <c r="J95" s="592"/>
      <c r="K95" s="591"/>
      <c r="L95" s="592"/>
      <c r="M95" s="77"/>
      <c r="N95" s="77"/>
      <c r="O95" s="77"/>
      <c r="P95" s="77"/>
      <c r="Q95" s="77"/>
      <c r="R95" s="77"/>
      <c r="S95" s="77"/>
      <c r="T95" s="77"/>
      <c r="U95" s="77"/>
      <c r="V95" s="77"/>
    </row>
    <row r="96" spans="1:22">
      <c r="A96" s="587" t="s">
        <v>10</v>
      </c>
      <c r="B96" s="588" t="s">
        <v>7</v>
      </c>
      <c r="C96" s="589"/>
      <c r="D96" s="590"/>
      <c r="E96" s="591"/>
      <c r="F96" s="592"/>
      <c r="G96" s="591"/>
      <c r="H96" s="592"/>
      <c r="I96" s="591"/>
      <c r="J96" s="592"/>
      <c r="K96" s="591"/>
      <c r="L96" s="592"/>
      <c r="M96" s="77"/>
      <c r="N96" s="77"/>
      <c r="O96" s="77"/>
      <c r="P96" s="77"/>
      <c r="Q96" s="77"/>
      <c r="R96" s="77"/>
      <c r="S96" s="77"/>
      <c r="T96" s="77"/>
      <c r="U96" s="77"/>
      <c r="V96" s="77"/>
    </row>
    <row r="97" spans="1:22">
      <c r="A97" s="587" t="s">
        <v>10</v>
      </c>
      <c r="B97" s="588" t="s">
        <v>1</v>
      </c>
      <c r="C97" s="589"/>
      <c r="D97" s="590"/>
      <c r="E97" s="591"/>
      <c r="F97" s="592"/>
      <c r="G97" s="591"/>
      <c r="H97" s="592"/>
      <c r="I97" s="591"/>
      <c r="J97" s="592"/>
      <c r="K97" s="591"/>
      <c r="L97" s="592"/>
      <c r="M97" s="77"/>
      <c r="N97" s="77"/>
      <c r="O97" s="77"/>
      <c r="P97" s="77"/>
      <c r="Q97" s="77"/>
      <c r="R97" s="77"/>
      <c r="S97" s="77"/>
      <c r="T97" s="77"/>
      <c r="U97" s="77"/>
      <c r="V97" s="77"/>
    </row>
    <row r="98" spans="1:22" ht="14" thickBot="1">
      <c r="A98" s="593" t="s">
        <v>10</v>
      </c>
      <c r="B98" s="594" t="s">
        <v>13</v>
      </c>
      <c r="C98" s="595"/>
      <c r="D98" s="596"/>
      <c r="E98" s="597"/>
      <c r="F98" s="598"/>
      <c r="G98" s="597"/>
      <c r="H98" s="598"/>
      <c r="I98" s="597"/>
      <c r="J98" s="598"/>
      <c r="K98" s="597"/>
      <c r="L98" s="598"/>
      <c r="M98" s="77"/>
      <c r="N98" s="77"/>
      <c r="O98" s="77"/>
      <c r="P98" s="77"/>
      <c r="Q98" s="77"/>
      <c r="R98" s="77"/>
      <c r="S98" s="77"/>
      <c r="T98" s="77"/>
      <c r="U98" s="77"/>
      <c r="V98" s="77"/>
    </row>
    <row r="99" spans="1:22">
      <c r="C99" s="22"/>
      <c r="E99" s="22"/>
      <c r="G99" s="22"/>
      <c r="I99" s="22"/>
      <c r="K99" s="22"/>
    </row>
  </sheetData>
  <sheetProtection sheet="1" objects="1" scenarios="1" formatCells="0" formatColumns="0" formatRows="0" sort="0" autoFilter="0" pivotTables="0"/>
  <autoFilter ref="A11:G63" xr:uid="{00000000-0009-0000-0000-000022000000}"/>
  <mergeCells count="5">
    <mergeCell ref="C85:D85"/>
    <mergeCell ref="E85:F85"/>
    <mergeCell ref="G85:H85"/>
    <mergeCell ref="I85:J85"/>
    <mergeCell ref="K85:L85"/>
  </mergeCells>
  <phoneticPr fontId="55" type="noConversion"/>
  <pageMargins left="0.75" right="0.75" top="1" bottom="1" header="0.5" footer="0.5"/>
  <pageSetup paperSize="3" scale="46" orientation="landscape" horizontalDpi="0" verticalDpi="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pageSetUpPr fitToPage="1"/>
  </sheetPr>
  <dimension ref="A1:AA74"/>
  <sheetViews>
    <sheetView workbookViewId="0">
      <selection activeCell="B2" sqref="B2"/>
    </sheetView>
  </sheetViews>
  <sheetFormatPr baseColWidth="10" defaultRowHeight="13"/>
  <cols>
    <col min="1" max="1" width="21.6640625" style="12" customWidth="1"/>
    <col min="2" max="3" width="10.83203125" style="12"/>
    <col min="4" max="4" width="64.1640625" style="12" customWidth="1"/>
    <col min="5" max="10" width="12.1640625" style="12" customWidth="1"/>
    <col min="11" max="13" width="10.83203125" style="12"/>
    <col min="14" max="14" width="11.1640625" style="12" customWidth="1"/>
    <col min="15" max="16" width="10.83203125" style="12"/>
    <col min="17" max="17" width="12.83203125" style="12" customWidth="1"/>
    <col min="18" max="16384" width="10.83203125" style="12"/>
  </cols>
  <sheetData>
    <row r="1" spans="1:27" ht="52">
      <c r="A1" s="77"/>
      <c r="B1" s="555" t="s">
        <v>96</v>
      </c>
      <c r="C1" s="522"/>
      <c r="D1" s="602"/>
      <c r="E1" s="555" t="s">
        <v>96</v>
      </c>
      <c r="F1" s="522" t="s">
        <v>758</v>
      </c>
      <c r="G1" s="522"/>
      <c r="H1" s="555" t="s">
        <v>96</v>
      </c>
      <c r="I1" s="522" t="s">
        <v>759</v>
      </c>
      <c r="J1" s="522"/>
      <c r="K1" s="555" t="s">
        <v>101</v>
      </c>
      <c r="L1" s="522"/>
      <c r="M1" s="522"/>
      <c r="N1" s="555" t="s">
        <v>106</v>
      </c>
      <c r="O1" s="522"/>
      <c r="P1" s="522"/>
      <c r="Q1" s="555" t="s">
        <v>120</v>
      </c>
      <c r="R1" s="522" t="s">
        <v>130</v>
      </c>
      <c r="S1" s="522"/>
      <c r="T1" s="555" t="s">
        <v>126</v>
      </c>
      <c r="U1" s="522" t="s">
        <v>129</v>
      </c>
      <c r="V1" s="522"/>
      <c r="W1" s="555" t="s">
        <v>131</v>
      </c>
      <c r="X1" s="522" t="s">
        <v>129</v>
      </c>
      <c r="Y1" s="522"/>
      <c r="Z1" s="216"/>
      <c r="AA1" s="77"/>
    </row>
    <row r="2" spans="1:27">
      <c r="A2" s="521" t="s">
        <v>12</v>
      </c>
      <c r="B2" s="77" t="s">
        <v>110</v>
      </c>
      <c r="C2" s="77" t="s">
        <v>111</v>
      </c>
      <c r="D2" s="77" t="s">
        <v>112</v>
      </c>
      <c r="E2" s="77" t="s">
        <v>110</v>
      </c>
      <c r="F2" s="77" t="s">
        <v>111</v>
      </c>
      <c r="G2" s="77" t="s">
        <v>112</v>
      </c>
      <c r="H2" s="77" t="s">
        <v>110</v>
      </c>
      <c r="I2" s="77" t="s">
        <v>111</v>
      </c>
      <c r="J2" s="77" t="s">
        <v>112</v>
      </c>
      <c r="K2" s="77" t="s">
        <v>110</v>
      </c>
      <c r="L2" s="77" t="s">
        <v>111</v>
      </c>
      <c r="M2" s="77" t="s">
        <v>112</v>
      </c>
      <c r="N2" s="77" t="s">
        <v>110</v>
      </c>
      <c r="O2" s="77" t="s">
        <v>111</v>
      </c>
      <c r="P2" s="77" t="s">
        <v>112</v>
      </c>
      <c r="Q2" s="77" t="s">
        <v>110</v>
      </c>
      <c r="R2" s="77" t="s">
        <v>111</v>
      </c>
      <c r="S2" s="77" t="s">
        <v>112</v>
      </c>
      <c r="T2" s="77" t="s">
        <v>110</v>
      </c>
      <c r="U2" s="77" t="s">
        <v>111</v>
      </c>
      <c r="V2" s="77" t="s">
        <v>112</v>
      </c>
      <c r="W2" s="77" t="s">
        <v>110</v>
      </c>
      <c r="X2" s="77" t="s">
        <v>111</v>
      </c>
      <c r="Y2" s="77" t="s">
        <v>112</v>
      </c>
      <c r="Z2" s="77"/>
      <c r="AA2" s="77"/>
    </row>
    <row r="3" spans="1:27">
      <c r="A3" s="77" t="s">
        <v>97</v>
      </c>
      <c r="B3" s="559">
        <f>SUM(E3,H3)</f>
        <v>16.393017535607932</v>
      </c>
      <c r="C3" s="77" t="s">
        <v>108</v>
      </c>
      <c r="D3" s="77" t="s">
        <v>755</v>
      </c>
      <c r="E3" s="538">
        <f>unconv_oil_frac*Oil!$A$47*$B$64*42*0.00378541/10^6</f>
        <v>9.81128231557582</v>
      </c>
      <c r="F3" s="77" t="s">
        <v>108</v>
      </c>
      <c r="G3" s="77"/>
      <c r="H3" s="538">
        <f>conv_oil_frac*Oil!$A$47*$B$63*42*0.00378541/10^6</f>
        <v>6.5817352200321135</v>
      </c>
      <c r="I3" s="77" t="s">
        <v>108</v>
      </c>
      <c r="J3" s="77"/>
      <c r="K3" s="538">
        <f>336*(66/(66+116))</f>
        <v>121.84615384615384</v>
      </c>
      <c r="L3" s="77" t="s">
        <v>108</v>
      </c>
      <c r="M3" s="77" t="s">
        <v>109</v>
      </c>
      <c r="N3" s="538">
        <f>SUM(N6:N7)</f>
        <v>2295.5856068447974</v>
      </c>
      <c r="O3" s="77" t="s">
        <v>108</v>
      </c>
      <c r="P3" s="77" t="s">
        <v>137</v>
      </c>
      <c r="Q3" s="538">
        <f>Q4</f>
        <v>4474.0173541826744</v>
      </c>
      <c r="R3" s="77" t="s">
        <v>108</v>
      </c>
      <c r="S3" s="77" t="s">
        <v>123</v>
      </c>
      <c r="T3" s="538">
        <v>69.320624999999993</v>
      </c>
      <c r="U3" s="77" t="s">
        <v>108</v>
      </c>
      <c r="V3" s="77" t="s">
        <v>127</v>
      </c>
      <c r="W3" s="538">
        <f>Q3-T3</f>
        <v>4404.6967291826741</v>
      </c>
      <c r="X3" s="77" t="s">
        <v>108</v>
      </c>
      <c r="Y3" s="77" t="s">
        <v>132</v>
      </c>
      <c r="Z3" s="538"/>
      <c r="AA3" s="77"/>
    </row>
    <row r="4" spans="1:27">
      <c r="A4" s="534" t="s">
        <v>98</v>
      </c>
      <c r="B4" s="603">
        <f>K4/(K4+K5)*(B3-B6)</f>
        <v>8.4096179957668671</v>
      </c>
      <c r="C4" s="77" t="s">
        <v>108</v>
      </c>
      <c r="D4" s="77" t="s">
        <v>135</v>
      </c>
      <c r="E4" s="604">
        <f>$B4/$B$3*E$3</f>
        <v>5.0331878278903943</v>
      </c>
      <c r="F4" s="77" t="s">
        <v>108</v>
      </c>
      <c r="G4" s="77"/>
      <c r="H4" s="604">
        <f>B4-E4</f>
        <v>3.3764301678764728</v>
      </c>
      <c r="I4" s="77" t="s">
        <v>108</v>
      </c>
      <c r="J4" s="77"/>
      <c r="K4" s="604">
        <f>0.57*(K3-K6)</f>
        <v>66.674215384615366</v>
      </c>
      <c r="L4" s="77" t="s">
        <v>108</v>
      </c>
      <c r="M4" s="77" t="s">
        <v>116</v>
      </c>
      <c r="N4" s="604">
        <f>N7*K4/(K4+K5)</f>
        <v>76.012225362479739</v>
      </c>
      <c r="O4" s="77" t="s">
        <v>108</v>
      </c>
      <c r="P4" s="77" t="s">
        <v>135</v>
      </c>
      <c r="Q4" s="604">
        <f>SUM(Q7:Q10)</f>
        <v>4474.0173541826744</v>
      </c>
      <c r="R4" s="77" t="s">
        <v>108</v>
      </c>
      <c r="S4" s="77" t="s">
        <v>122</v>
      </c>
      <c r="T4" s="604">
        <f>T3</f>
        <v>69.320624999999993</v>
      </c>
      <c r="U4" s="77" t="s">
        <v>108</v>
      </c>
      <c r="V4" s="77" t="s">
        <v>125</v>
      </c>
      <c r="W4" s="604">
        <f t="shared" ref="W4:W10" si="0">Q4-T4</f>
        <v>4404.6967291826741</v>
      </c>
      <c r="X4" s="77" t="s">
        <v>108</v>
      </c>
      <c r="Y4" s="77"/>
      <c r="Z4" s="77"/>
      <c r="AA4" s="77"/>
    </row>
    <row r="5" spans="1:27">
      <c r="A5" s="534" t="s">
        <v>99</v>
      </c>
      <c r="B5" s="603">
        <f>K5/(K4+K5)*(B3-B6)</f>
        <v>6.3440977862802699</v>
      </c>
      <c r="C5" s="77" t="s">
        <v>108</v>
      </c>
      <c r="D5" s="77" t="s">
        <v>135</v>
      </c>
      <c r="E5" s="604">
        <f t="shared" ref="E5:E6" si="1">$B5/$B$3*E$3</f>
        <v>3.7969662561278423</v>
      </c>
      <c r="F5" s="77" t="s">
        <v>108</v>
      </c>
      <c r="G5" s="77"/>
      <c r="H5" s="604">
        <f>B5-E5</f>
        <v>2.5471315301524275</v>
      </c>
      <c r="I5" s="77" t="s">
        <v>108</v>
      </c>
      <c r="J5" s="77"/>
      <c r="K5" s="604">
        <f>0.43*(K3-K6)</f>
        <v>50.298092307692301</v>
      </c>
      <c r="L5" s="77" t="s">
        <v>108</v>
      </c>
      <c r="M5" s="77" t="s">
        <v>117</v>
      </c>
      <c r="N5" s="604">
        <f>N7*K5/(K4+K5)</f>
        <v>57.342555975204021</v>
      </c>
      <c r="O5" s="77" t="s">
        <v>108</v>
      </c>
      <c r="P5" s="77" t="s">
        <v>135</v>
      </c>
      <c r="Q5" s="534">
        <v>0</v>
      </c>
      <c r="R5" s="77" t="s">
        <v>108</v>
      </c>
      <c r="S5" s="77" t="s">
        <v>125</v>
      </c>
      <c r="T5" s="534">
        <v>0</v>
      </c>
      <c r="U5" s="77" t="s">
        <v>108</v>
      </c>
      <c r="V5" s="77" t="s">
        <v>125</v>
      </c>
      <c r="W5" s="604">
        <f t="shared" si="0"/>
        <v>0</v>
      </c>
      <c r="X5" s="77" t="s">
        <v>108</v>
      </c>
      <c r="Y5" s="77"/>
      <c r="Z5" s="77"/>
      <c r="AA5" s="77"/>
    </row>
    <row r="6" spans="1:27">
      <c r="A6" s="534" t="s">
        <v>100</v>
      </c>
      <c r="B6" s="603">
        <f>0.1*B3</f>
        <v>1.6393017535607932</v>
      </c>
      <c r="C6" s="77" t="s">
        <v>108</v>
      </c>
      <c r="D6" s="77" t="s">
        <v>756</v>
      </c>
      <c r="E6" s="605">
        <f t="shared" si="1"/>
        <v>0.981128231557582</v>
      </c>
      <c r="F6" s="77" t="s">
        <v>108</v>
      </c>
      <c r="G6" s="77" t="s">
        <v>756</v>
      </c>
      <c r="H6" s="604">
        <f>0.1*H3</f>
        <v>0.65817352200321144</v>
      </c>
      <c r="I6" s="77" t="s">
        <v>108</v>
      </c>
      <c r="J6" s="77" t="s">
        <v>756</v>
      </c>
      <c r="K6" s="605">
        <f>0.04*K3</f>
        <v>4.8738461538461539</v>
      </c>
      <c r="L6" s="77" t="s">
        <v>108</v>
      </c>
      <c r="M6" s="77" t="s">
        <v>113</v>
      </c>
      <c r="N6" s="605">
        <f>Q25</f>
        <v>2162.2308255071139</v>
      </c>
      <c r="O6" s="77" t="s">
        <v>108</v>
      </c>
      <c r="P6" s="77" t="s">
        <v>276</v>
      </c>
      <c r="Q6" s="534">
        <v>0</v>
      </c>
      <c r="R6" s="77" t="s">
        <v>108</v>
      </c>
      <c r="S6" s="77" t="s">
        <v>125</v>
      </c>
      <c r="T6" s="534">
        <v>0</v>
      </c>
      <c r="U6" s="77" t="s">
        <v>108</v>
      </c>
      <c r="V6" s="77" t="s">
        <v>125</v>
      </c>
      <c r="W6" s="604">
        <f t="shared" si="0"/>
        <v>0</v>
      </c>
      <c r="X6" s="77" t="s">
        <v>108</v>
      </c>
      <c r="Y6" s="77"/>
      <c r="Z6" s="77"/>
      <c r="AA6" s="77"/>
    </row>
    <row r="7" spans="1:27">
      <c r="A7" s="534" t="s">
        <v>102</v>
      </c>
      <c r="B7" s="603">
        <f>B3-B6</f>
        <v>14.753715782047138</v>
      </c>
      <c r="C7" s="77" t="s">
        <v>108</v>
      </c>
      <c r="D7" s="77" t="s">
        <v>133</v>
      </c>
      <c r="E7" s="604">
        <f>$B7/$B$3*E$3</f>
        <v>8.830154084018238</v>
      </c>
      <c r="F7" s="77" t="s">
        <v>108</v>
      </c>
      <c r="G7" s="77"/>
      <c r="H7" s="604">
        <f>B7-E7</f>
        <v>5.9235616980288999</v>
      </c>
      <c r="I7" s="77" t="s">
        <v>108</v>
      </c>
      <c r="J7" s="77"/>
      <c r="K7" s="604">
        <f>K3-K6</f>
        <v>116.97230769230768</v>
      </c>
      <c r="L7" s="77" t="s">
        <v>108</v>
      </c>
      <c r="M7" s="77" t="s">
        <v>114</v>
      </c>
      <c r="N7" s="604">
        <v>133.35478133768376</v>
      </c>
      <c r="O7" s="77" t="s">
        <v>108</v>
      </c>
      <c r="P7" s="77" t="s">
        <v>277</v>
      </c>
      <c r="Q7" s="604">
        <v>0</v>
      </c>
      <c r="R7" s="77" t="s">
        <v>108</v>
      </c>
      <c r="S7" s="77" t="s">
        <v>121</v>
      </c>
      <c r="T7" s="534">
        <v>0</v>
      </c>
      <c r="U7" s="77" t="s">
        <v>108</v>
      </c>
      <c r="V7" s="77" t="s">
        <v>128</v>
      </c>
      <c r="W7" s="604">
        <f t="shared" si="0"/>
        <v>0</v>
      </c>
      <c r="X7" s="77" t="s">
        <v>108</v>
      </c>
      <c r="Y7" s="77"/>
      <c r="Z7" s="77"/>
      <c r="AA7" s="77"/>
    </row>
    <row r="8" spans="1:27">
      <c r="A8" s="534" t="s">
        <v>103</v>
      </c>
      <c r="B8" s="603">
        <f>SUM(E8,H8)</f>
        <v>0</v>
      </c>
      <c r="C8" s="77"/>
      <c r="D8" s="77"/>
      <c r="E8" s="604"/>
      <c r="F8" s="77"/>
      <c r="G8" s="77"/>
      <c r="H8" s="604">
        <v>0</v>
      </c>
      <c r="I8" s="77"/>
      <c r="J8" s="77"/>
      <c r="K8" s="604">
        <v>0</v>
      </c>
      <c r="L8" s="77"/>
      <c r="M8" s="77"/>
      <c r="N8" s="604">
        <f>Q8/$Q$3*$N$6</f>
        <v>233.99611061332763</v>
      </c>
      <c r="O8" s="77" t="s">
        <v>108</v>
      </c>
      <c r="P8" s="77" t="s">
        <v>136</v>
      </c>
      <c r="Q8" s="604">
        <v>484.17710419503595</v>
      </c>
      <c r="R8" s="77" t="s">
        <v>108</v>
      </c>
      <c r="S8" s="77" t="s">
        <v>121</v>
      </c>
      <c r="T8" s="534">
        <v>0</v>
      </c>
      <c r="U8" s="77" t="s">
        <v>108</v>
      </c>
      <c r="V8" s="77" t="s">
        <v>128</v>
      </c>
      <c r="W8" s="604">
        <f t="shared" si="0"/>
        <v>484.17710419503595</v>
      </c>
      <c r="X8" s="77" t="s">
        <v>108</v>
      </c>
      <c r="Y8" s="77"/>
      <c r="Z8" s="604"/>
      <c r="AA8" s="77"/>
    </row>
    <row r="9" spans="1:27">
      <c r="A9" s="534" t="s">
        <v>104</v>
      </c>
      <c r="B9" s="603">
        <f t="shared" ref="B9:B10" si="2">SUM(E9,H9)</f>
        <v>0.65817352200321144</v>
      </c>
      <c r="C9" s="77"/>
      <c r="D9" s="77"/>
      <c r="E9" s="538">
        <v>0</v>
      </c>
      <c r="F9" s="77" t="s">
        <v>108</v>
      </c>
      <c r="G9" s="77" t="s">
        <v>757</v>
      </c>
      <c r="H9" s="604">
        <f>H6</f>
        <v>0.65817352200321144</v>
      </c>
      <c r="I9" s="77" t="s">
        <v>108</v>
      </c>
      <c r="J9" s="77" t="s">
        <v>757</v>
      </c>
      <c r="K9" s="603">
        <f>T9</f>
        <v>2.0912500000000001</v>
      </c>
      <c r="L9" s="77" t="s">
        <v>108</v>
      </c>
      <c r="M9" s="77" t="s">
        <v>278</v>
      </c>
      <c r="N9" s="604">
        <f>Q9/$Q$3*$N$6</f>
        <v>444.68628422662891</v>
      </c>
      <c r="O9" s="77" t="s">
        <v>108</v>
      </c>
      <c r="P9" s="77" t="s">
        <v>136</v>
      </c>
      <c r="Q9" s="604">
        <v>920.13032527659766</v>
      </c>
      <c r="R9" s="77" t="s">
        <v>108</v>
      </c>
      <c r="S9" s="77" t="s">
        <v>121</v>
      </c>
      <c r="T9" s="606">
        <v>2.0912500000000001</v>
      </c>
      <c r="U9" s="77" t="s">
        <v>108</v>
      </c>
      <c r="V9" s="77" t="s">
        <v>128</v>
      </c>
      <c r="W9" s="604">
        <f t="shared" si="0"/>
        <v>918.03907527659771</v>
      </c>
      <c r="X9" s="77" t="s">
        <v>108</v>
      </c>
      <c r="Y9" s="77"/>
      <c r="Z9" s="77"/>
      <c r="AA9" s="77"/>
    </row>
    <row r="10" spans="1:27">
      <c r="A10" s="534" t="s">
        <v>105</v>
      </c>
      <c r="B10" s="603">
        <f t="shared" si="2"/>
        <v>0.981128231557582</v>
      </c>
      <c r="C10" s="77"/>
      <c r="D10" s="77"/>
      <c r="E10" s="605">
        <f>E6</f>
        <v>0.981128231557582</v>
      </c>
      <c r="F10" s="77" t="s">
        <v>108</v>
      </c>
      <c r="G10" s="77" t="s">
        <v>757</v>
      </c>
      <c r="H10" s="604">
        <v>0</v>
      </c>
      <c r="I10" s="77"/>
      <c r="J10" s="77"/>
      <c r="K10" s="605">
        <f>K6-K9</f>
        <v>2.7825961538461539</v>
      </c>
      <c r="L10" s="77"/>
      <c r="M10" s="77"/>
      <c r="N10" s="605">
        <f>Q10/$Q$3*$N$6</f>
        <v>1483.5484306671572</v>
      </c>
      <c r="O10" s="77" t="s">
        <v>108</v>
      </c>
      <c r="P10" s="77" t="s">
        <v>136</v>
      </c>
      <c r="Q10" s="605">
        <v>3069.7099247110405</v>
      </c>
      <c r="R10" s="77" t="s">
        <v>108</v>
      </c>
      <c r="S10" s="77" t="s">
        <v>121</v>
      </c>
      <c r="T10" s="604">
        <f>T3-T9</f>
        <v>67.22937499999999</v>
      </c>
      <c r="U10" s="77" t="s">
        <v>108</v>
      </c>
      <c r="V10" s="77" t="s">
        <v>128</v>
      </c>
      <c r="W10" s="604">
        <f t="shared" si="0"/>
        <v>3002.4805497110406</v>
      </c>
      <c r="X10" s="77" t="s">
        <v>108</v>
      </c>
      <c r="Y10" s="77"/>
      <c r="Z10" s="77"/>
      <c r="AA10" s="77"/>
    </row>
    <row r="11" spans="1:27">
      <c r="A11" s="77"/>
      <c r="B11" s="77"/>
      <c r="C11" s="77"/>
      <c r="D11" s="77"/>
      <c r="E11" s="77"/>
      <c r="F11" s="77"/>
      <c r="G11" s="77"/>
      <c r="H11" s="77"/>
      <c r="I11" s="77"/>
      <c r="J11" s="77"/>
      <c r="K11" s="538"/>
      <c r="L11" s="77"/>
      <c r="M11" s="77"/>
      <c r="N11" s="77"/>
      <c r="O11" s="77"/>
      <c r="P11" s="77"/>
      <c r="Q11" s="77"/>
      <c r="R11" s="77"/>
      <c r="S11" s="77"/>
      <c r="T11" s="77"/>
      <c r="U11" s="77"/>
      <c r="V11" s="77"/>
      <c r="W11" s="538"/>
      <c r="X11" s="77"/>
      <c r="Y11" s="77"/>
      <c r="Z11" s="77"/>
      <c r="AA11" s="77"/>
    </row>
    <row r="12" spans="1:27">
      <c r="A12" s="521" t="s">
        <v>107</v>
      </c>
      <c r="B12" s="77"/>
      <c r="C12" s="77"/>
      <c r="D12" s="77"/>
      <c r="E12" s="77"/>
      <c r="F12" s="77"/>
      <c r="G12" s="77"/>
      <c r="H12" s="77"/>
      <c r="I12" s="77"/>
      <c r="J12" s="77"/>
      <c r="K12" s="538"/>
      <c r="L12" s="77"/>
      <c r="M12" s="77"/>
      <c r="N12" s="77"/>
      <c r="O12" s="77"/>
      <c r="P12" s="77"/>
      <c r="Q12" s="77"/>
      <c r="R12" s="77"/>
      <c r="S12" s="77"/>
      <c r="T12" s="77"/>
      <c r="U12" s="77"/>
      <c r="V12" s="77"/>
      <c r="W12" s="538"/>
      <c r="X12" s="77"/>
      <c r="Y12" s="77"/>
      <c r="Z12" s="77"/>
      <c r="AA12" s="77"/>
    </row>
    <row r="13" spans="1:27">
      <c r="A13" s="77" t="s">
        <v>97</v>
      </c>
      <c r="B13" s="538">
        <f>(0.7/10^9)*33099351615</f>
        <v>23.169546130499999</v>
      </c>
      <c r="C13" s="77" t="s">
        <v>108</v>
      </c>
      <c r="D13" s="77" t="s">
        <v>134</v>
      </c>
      <c r="E13" s="538">
        <f>B13*unconv_ng_frac</f>
        <v>11.274411519563161</v>
      </c>
      <c r="F13" s="77" t="s">
        <v>108</v>
      </c>
      <c r="G13" s="77"/>
      <c r="H13" s="538">
        <f t="shared" ref="H13:H18" si="3">B13-E13</f>
        <v>11.895134610936838</v>
      </c>
      <c r="I13" s="77" t="s">
        <v>108</v>
      </c>
      <c r="J13" s="77"/>
      <c r="K13" s="538">
        <f>336*116/(116+66)</f>
        <v>214.15384615384616</v>
      </c>
      <c r="L13" s="77" t="s">
        <v>108</v>
      </c>
      <c r="M13" s="77" t="s">
        <v>109</v>
      </c>
      <c r="N13" s="77"/>
      <c r="O13" s="77"/>
      <c r="P13" s="77"/>
      <c r="Q13" s="538">
        <f>Q14</f>
        <v>330.94003583313446</v>
      </c>
      <c r="R13" s="77" t="s">
        <v>108</v>
      </c>
      <c r="S13" s="77" t="s">
        <v>124</v>
      </c>
      <c r="T13" s="538">
        <v>109.28032142857144</v>
      </c>
      <c r="U13" s="77" t="s">
        <v>108</v>
      </c>
      <c r="V13" s="77" t="s">
        <v>127</v>
      </c>
      <c r="W13" s="538">
        <f>Q13-T13-T34</f>
        <v>110.23476925321279</v>
      </c>
      <c r="X13" s="77" t="s">
        <v>108</v>
      </c>
      <c r="Y13" s="77" t="s">
        <v>132</v>
      </c>
      <c r="Z13" s="538"/>
      <c r="AA13" s="77"/>
    </row>
    <row r="14" spans="1:27">
      <c r="A14" s="534" t="s">
        <v>98</v>
      </c>
      <c r="B14" s="604">
        <f>K14/(K14+K15)*(B13-B16)</f>
        <v>13.769538845075775</v>
      </c>
      <c r="C14" s="77" t="s">
        <v>108</v>
      </c>
      <c r="D14" s="77" t="s">
        <v>135</v>
      </c>
      <c r="E14" s="604">
        <f t="shared" ref="E14:E18" si="4">B14*unconv_ng_frac</f>
        <v>6.7003231957847857</v>
      </c>
      <c r="F14" s="77" t="s">
        <v>108</v>
      </c>
      <c r="G14" s="77"/>
      <c r="H14" s="604">
        <f t="shared" si="3"/>
        <v>7.0692156492909897</v>
      </c>
      <c r="I14" s="77" t="s">
        <v>108</v>
      </c>
      <c r="J14" s="77"/>
      <c r="K14" s="603">
        <f>0.65*(K13-K16)</f>
        <v>133.63200000000001</v>
      </c>
      <c r="L14" s="77" t="s">
        <v>108</v>
      </c>
      <c r="M14" s="77" t="s">
        <v>115</v>
      </c>
      <c r="N14" s="77"/>
      <c r="O14" s="77"/>
      <c r="P14" s="77"/>
      <c r="Q14" s="604">
        <f>SUM(Q17:Q20)</f>
        <v>330.94003583313446</v>
      </c>
      <c r="R14" s="77" t="s">
        <v>108</v>
      </c>
      <c r="S14" s="77" t="s">
        <v>122</v>
      </c>
      <c r="T14" s="604">
        <f>T13</f>
        <v>109.28032142857144</v>
      </c>
      <c r="U14" s="77" t="s">
        <v>108</v>
      </c>
      <c r="V14" s="77" t="s">
        <v>125</v>
      </c>
      <c r="W14" s="604">
        <f t="shared" ref="W14:W19" si="5">Q14-T14-T35</f>
        <v>110.23476925321279</v>
      </c>
      <c r="X14" s="77" t="s">
        <v>108</v>
      </c>
      <c r="Y14" s="77"/>
      <c r="Z14" s="77"/>
      <c r="AA14" s="77"/>
    </row>
    <row r="15" spans="1:27">
      <c r="A15" s="534" t="s">
        <v>99</v>
      </c>
      <c r="B15" s="604">
        <f>K15/(K14+K15)*(B13-B16)</f>
        <v>7.414367070425417</v>
      </c>
      <c r="C15" s="77" t="s">
        <v>108</v>
      </c>
      <c r="D15" s="77" t="s">
        <v>135</v>
      </c>
      <c r="E15" s="604">
        <f t="shared" si="4"/>
        <v>3.6078663361918073</v>
      </c>
      <c r="F15" s="77" t="s">
        <v>108</v>
      </c>
      <c r="G15" s="77"/>
      <c r="H15" s="604">
        <f t="shared" si="3"/>
        <v>3.8065007342336097</v>
      </c>
      <c r="I15" s="77" t="s">
        <v>108</v>
      </c>
      <c r="J15" s="77"/>
      <c r="K15" s="603">
        <f>0.35*(K13-K16)</f>
        <v>71.955692307692303</v>
      </c>
      <c r="L15" s="77" t="s">
        <v>108</v>
      </c>
      <c r="M15" s="77" t="s">
        <v>118</v>
      </c>
      <c r="N15" s="77"/>
      <c r="O15" s="77"/>
      <c r="P15" s="77"/>
      <c r="Q15" s="534">
        <v>0</v>
      </c>
      <c r="R15" s="77" t="s">
        <v>108</v>
      </c>
      <c r="S15" s="77" t="s">
        <v>125</v>
      </c>
      <c r="T15" s="534">
        <v>0</v>
      </c>
      <c r="U15" s="77" t="s">
        <v>108</v>
      </c>
      <c r="V15" s="77" t="s">
        <v>125</v>
      </c>
      <c r="W15" s="604">
        <f t="shared" si="5"/>
        <v>0</v>
      </c>
      <c r="X15" s="77" t="s">
        <v>108</v>
      </c>
      <c r="Y15" s="77"/>
      <c r="Z15" s="77"/>
      <c r="AA15" s="77"/>
    </row>
    <row r="16" spans="1:27">
      <c r="A16" s="534" t="s">
        <v>100</v>
      </c>
      <c r="B16" s="604">
        <f>B19+B20</f>
        <v>1.9856402149988068</v>
      </c>
      <c r="C16" s="77" t="s">
        <v>108</v>
      </c>
      <c r="D16" s="77" t="s">
        <v>119</v>
      </c>
      <c r="E16" s="604">
        <f>B16*unconv_ng_frac</f>
        <v>0.96622198758656963</v>
      </c>
      <c r="F16" s="77" t="s">
        <v>108</v>
      </c>
      <c r="G16" s="77"/>
      <c r="H16" s="604">
        <f>B16-E16</f>
        <v>1.0194182274122372</v>
      </c>
      <c r="I16" s="77" t="s">
        <v>108</v>
      </c>
      <c r="J16" s="77"/>
      <c r="K16" s="603">
        <f>0.04*K13</f>
        <v>8.5661538461538473</v>
      </c>
      <c r="L16" s="77" t="s">
        <v>108</v>
      </c>
      <c r="M16" s="77" t="s">
        <v>113</v>
      </c>
      <c r="N16" s="77"/>
      <c r="O16" s="77"/>
      <c r="P16" s="77"/>
      <c r="Q16" s="534">
        <v>0</v>
      </c>
      <c r="R16" s="77" t="s">
        <v>108</v>
      </c>
      <c r="S16" s="77" t="s">
        <v>125</v>
      </c>
      <c r="T16" s="534">
        <v>0</v>
      </c>
      <c r="U16" s="77" t="s">
        <v>108</v>
      </c>
      <c r="V16" s="77" t="s">
        <v>125</v>
      </c>
      <c r="W16" s="604">
        <f t="shared" si="5"/>
        <v>0</v>
      </c>
      <c r="X16" s="77" t="s">
        <v>108</v>
      </c>
      <c r="Y16" s="77"/>
      <c r="Z16" s="77"/>
      <c r="AA16" s="77"/>
    </row>
    <row r="17" spans="1:27">
      <c r="A17" s="534" t="s">
        <v>102</v>
      </c>
      <c r="B17" s="604">
        <f>B13-B19-B20</f>
        <v>21.183905915501192</v>
      </c>
      <c r="C17" s="77" t="s">
        <v>108</v>
      </c>
      <c r="D17" s="77" t="s">
        <v>133</v>
      </c>
      <c r="E17" s="604">
        <f t="shared" si="4"/>
        <v>10.308189531976593</v>
      </c>
      <c r="F17" s="77" t="s">
        <v>108</v>
      </c>
      <c r="G17" s="77"/>
      <c r="H17" s="604">
        <f t="shared" si="3"/>
        <v>10.875716383524599</v>
      </c>
      <c r="I17" s="77" t="s">
        <v>108</v>
      </c>
      <c r="J17" s="77"/>
      <c r="K17" s="604">
        <f>K13-K16</f>
        <v>205.58769230769232</v>
      </c>
      <c r="L17" s="77" t="s">
        <v>108</v>
      </c>
      <c r="M17" s="77" t="s">
        <v>114</v>
      </c>
      <c r="N17" s="77"/>
      <c r="O17" s="77"/>
      <c r="P17" s="77"/>
      <c r="Q17" s="604">
        <v>40.852679560578899</v>
      </c>
      <c r="R17" s="77" t="s">
        <v>108</v>
      </c>
      <c r="S17" s="77" t="s">
        <v>121</v>
      </c>
      <c r="T17" s="534">
        <v>0</v>
      </c>
      <c r="U17" s="77" t="s">
        <v>108</v>
      </c>
      <c r="V17" s="77" t="s">
        <v>128</v>
      </c>
      <c r="W17" s="604">
        <f t="shared" si="5"/>
        <v>0</v>
      </c>
      <c r="X17" s="77" t="s">
        <v>108</v>
      </c>
      <c r="Y17" s="77"/>
      <c r="Z17" s="77"/>
      <c r="AA17" s="77"/>
    </row>
    <row r="18" spans="1:27">
      <c r="A18" s="534" t="s">
        <v>103</v>
      </c>
      <c r="B18" s="604">
        <v>0</v>
      </c>
      <c r="C18" s="77"/>
      <c r="D18" s="77"/>
      <c r="E18" s="604">
        <f t="shared" si="4"/>
        <v>0</v>
      </c>
      <c r="F18" s="77"/>
      <c r="G18" s="212"/>
      <c r="H18" s="604">
        <f t="shared" si="3"/>
        <v>0</v>
      </c>
      <c r="I18" s="77"/>
      <c r="J18" s="77"/>
      <c r="K18" s="534">
        <v>0</v>
      </c>
      <c r="L18" s="77"/>
      <c r="M18" s="77"/>
      <c r="N18" s="77"/>
      <c r="O18" s="77"/>
      <c r="P18" s="77"/>
      <c r="Q18" s="604">
        <v>40.905952425902491</v>
      </c>
      <c r="R18" s="77" t="s">
        <v>108</v>
      </c>
      <c r="S18" s="77" t="s">
        <v>121</v>
      </c>
      <c r="T18" s="534">
        <v>0</v>
      </c>
      <c r="U18" s="77" t="s">
        <v>108</v>
      </c>
      <c r="V18" s="77" t="s">
        <v>128</v>
      </c>
      <c r="W18" s="604">
        <f t="shared" si="5"/>
        <v>0</v>
      </c>
      <c r="X18" s="77" t="s">
        <v>108</v>
      </c>
      <c r="Y18" s="77"/>
      <c r="Z18" s="604"/>
      <c r="AA18" s="77"/>
    </row>
    <row r="19" spans="1:27">
      <c r="A19" s="534" t="s">
        <v>104</v>
      </c>
      <c r="B19" s="604">
        <f>E19+H19</f>
        <v>0.96622198758656963</v>
      </c>
      <c r="C19" s="77" t="s">
        <v>108</v>
      </c>
      <c r="D19" s="77" t="s">
        <v>119</v>
      </c>
      <c r="E19" s="604">
        <f>0.006*Q13*unconv_ng_frac</f>
        <v>0.96622198758656963</v>
      </c>
      <c r="F19" s="77" t="s">
        <v>108</v>
      </c>
      <c r="G19" s="77"/>
      <c r="H19" s="604">
        <v>0</v>
      </c>
      <c r="I19" s="77" t="s">
        <v>108</v>
      </c>
      <c r="J19" s="77"/>
      <c r="K19" s="603">
        <f>K16</f>
        <v>8.5661538461538473</v>
      </c>
      <c r="L19" s="77" t="s">
        <v>108</v>
      </c>
      <c r="M19" s="77" t="s">
        <v>656</v>
      </c>
      <c r="N19" s="77"/>
      <c r="O19" s="77"/>
      <c r="P19" s="77"/>
      <c r="Q19" s="604">
        <v>27.169984534966524</v>
      </c>
      <c r="R19" s="77" t="s">
        <v>108</v>
      </c>
      <c r="S19" s="77" t="s">
        <v>121</v>
      </c>
      <c r="T19" s="534">
        <v>10.8</v>
      </c>
      <c r="U19" s="77" t="s">
        <v>108</v>
      </c>
      <c r="V19" s="77" t="s">
        <v>128</v>
      </c>
      <c r="W19" s="604">
        <f t="shared" si="5"/>
        <v>0</v>
      </c>
      <c r="X19" s="77" t="s">
        <v>108</v>
      </c>
      <c r="Y19" s="77"/>
      <c r="Z19" s="77"/>
      <c r="AA19" s="77"/>
    </row>
    <row r="20" spans="1:27">
      <c r="A20" s="534" t="s">
        <v>105</v>
      </c>
      <c r="B20" s="604">
        <f>0.006*Q13-B19</f>
        <v>1.0194182274122372</v>
      </c>
      <c r="C20" s="77" t="s">
        <v>108</v>
      </c>
      <c r="D20" s="77"/>
      <c r="E20" s="604">
        <v>0</v>
      </c>
      <c r="F20" s="77" t="s">
        <v>108</v>
      </c>
      <c r="G20" s="77"/>
      <c r="H20" s="605">
        <f>0.006*Q13*conv_ng_frac</f>
        <v>1.0194182274122372</v>
      </c>
      <c r="I20" s="77" t="s">
        <v>108</v>
      </c>
      <c r="J20" s="77"/>
      <c r="K20" s="534">
        <v>0</v>
      </c>
      <c r="L20" s="77"/>
      <c r="M20" s="77"/>
      <c r="N20" s="77"/>
      <c r="O20" s="77"/>
      <c r="P20" s="77"/>
      <c r="Q20" s="605">
        <v>222.01141931168655</v>
      </c>
      <c r="R20" s="77" t="s">
        <v>108</v>
      </c>
      <c r="S20" s="77" t="s">
        <v>121</v>
      </c>
      <c r="T20" s="604">
        <f>T13-T19</f>
        <v>98.480321428571443</v>
      </c>
      <c r="U20" s="77" t="s">
        <v>108</v>
      </c>
      <c r="V20" s="77" t="s">
        <v>128</v>
      </c>
      <c r="W20" s="604">
        <f>Q20-T20-T41</f>
        <v>110.23476925321279</v>
      </c>
      <c r="X20" s="77" t="s">
        <v>108</v>
      </c>
      <c r="Y20" s="77"/>
      <c r="Z20" s="77"/>
      <c r="AA20" s="77"/>
    </row>
    <row r="21" spans="1:27">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row>
    <row r="22" spans="1:27">
      <c r="A22" s="77"/>
      <c r="B22" s="77"/>
      <c r="C22" s="77"/>
      <c r="D22" s="77"/>
      <c r="E22" s="77"/>
      <c r="F22" s="534" t="s">
        <v>233</v>
      </c>
      <c r="G22" s="77"/>
      <c r="H22" s="534" t="s">
        <v>236</v>
      </c>
      <c r="I22" s="77"/>
      <c r="J22" s="77"/>
      <c r="K22" s="77"/>
      <c r="L22" s="77"/>
      <c r="M22" s="77"/>
      <c r="N22" s="77"/>
      <c r="O22" s="77"/>
      <c r="P22" s="77"/>
      <c r="Q22" s="77"/>
      <c r="R22" s="77"/>
      <c r="S22" s="77"/>
      <c r="T22" s="77"/>
      <c r="U22" s="77"/>
      <c r="V22" s="77"/>
      <c r="W22" s="77"/>
      <c r="X22" s="77"/>
      <c r="Y22" s="77"/>
      <c r="Z22" s="77"/>
      <c r="AA22" s="77"/>
    </row>
    <row r="23" spans="1:27">
      <c r="A23" s="607" t="s">
        <v>47</v>
      </c>
      <c r="B23" s="77"/>
      <c r="C23" s="525" t="s">
        <v>208</v>
      </c>
      <c r="D23" s="525" t="s">
        <v>209</v>
      </c>
      <c r="E23" s="77"/>
      <c r="F23" s="77" t="s">
        <v>234</v>
      </c>
      <c r="G23" s="77" t="s">
        <v>235</v>
      </c>
      <c r="H23" s="77" t="s">
        <v>234</v>
      </c>
      <c r="I23" s="77" t="s">
        <v>235</v>
      </c>
      <c r="J23" s="77"/>
      <c r="K23" s="77"/>
      <c r="L23" s="77"/>
      <c r="M23" s="77"/>
      <c r="N23" s="77"/>
      <c r="O23" s="77"/>
      <c r="P23" s="77" t="s">
        <v>270</v>
      </c>
      <c r="Q23" s="285">
        <f>Q13/Q3</f>
        <v>7.3969323235580406E-2</v>
      </c>
      <c r="R23" s="77"/>
      <c r="S23" s="77"/>
      <c r="T23" s="77" t="s">
        <v>279</v>
      </c>
      <c r="U23" s="77"/>
      <c r="V23" s="77"/>
      <c r="W23" s="77"/>
      <c r="X23" s="77"/>
      <c r="Y23" s="77"/>
      <c r="Z23" s="77"/>
      <c r="AA23" s="77"/>
    </row>
    <row r="24" spans="1:27">
      <c r="A24" s="77" t="s">
        <v>97</v>
      </c>
      <c r="B24" s="77"/>
      <c r="C24" s="608">
        <f>(30/'Energy data by fuel cycle'!$E$131)*'Energy data by fuel cycle'!$B$132*(1/Constants!$A$6)</f>
        <v>660071712.45008922</v>
      </c>
      <c r="D24" s="608">
        <f>(20/'Energy data by fuel cycle'!$E$131)*'Energy data by fuel cycle'!$B$132*(1/Constants!$A$6)</f>
        <v>440047808.30005944</v>
      </c>
      <c r="E24" s="77"/>
      <c r="F24" s="77" t="s">
        <v>237</v>
      </c>
      <c r="G24" s="77" t="s">
        <v>238</v>
      </c>
      <c r="H24" s="608">
        <f>I24*(1/0.9)</f>
        <v>242026294.56503269</v>
      </c>
      <c r="I24" s="608">
        <f>0.5*0.99*D24</f>
        <v>217823665.10852942</v>
      </c>
      <c r="J24" s="77"/>
      <c r="K24" s="77"/>
      <c r="L24" s="77"/>
      <c r="M24" s="77"/>
      <c r="N24" s="77"/>
      <c r="O24" s="77"/>
      <c r="P24" s="77" t="s">
        <v>271</v>
      </c>
      <c r="Q24" s="538">
        <f>0.55*(Q3+Q13)</f>
        <v>2642.726564508695</v>
      </c>
      <c r="R24" s="77"/>
      <c r="S24" s="77"/>
      <c r="T24" s="538">
        <v>109.28032142857144</v>
      </c>
      <c r="U24" s="77" t="s">
        <v>108</v>
      </c>
      <c r="V24" s="77" t="s">
        <v>127</v>
      </c>
      <c r="W24" s="77"/>
      <c r="X24" s="77"/>
      <c r="Y24" s="77"/>
      <c r="Z24" s="77"/>
      <c r="AA24" s="77"/>
    </row>
    <row r="25" spans="1:27">
      <c r="A25" s="73" t="s">
        <v>8</v>
      </c>
      <c r="B25" s="73" t="s">
        <v>0</v>
      </c>
      <c r="C25" s="608">
        <f>$E$47*(C24-C27)</f>
        <v>469971059.26446354</v>
      </c>
      <c r="D25" s="608">
        <f>$E$47*(D24-D27)</f>
        <v>316306364.60608274</v>
      </c>
      <c r="E25" s="77"/>
      <c r="F25" s="553">
        <f>10*G25</f>
        <v>14668260.276668649</v>
      </c>
      <c r="G25" s="553">
        <f>0.01*0.5*$D$24*(2/3)</f>
        <v>1466826.0276668649</v>
      </c>
      <c r="H25" s="77"/>
      <c r="I25" s="77"/>
      <c r="J25" s="77"/>
      <c r="K25" s="77"/>
      <c r="L25" s="77"/>
      <c r="M25" s="77"/>
      <c r="N25" s="77"/>
      <c r="O25" s="77"/>
      <c r="P25" s="77" t="s">
        <v>272</v>
      </c>
      <c r="Q25" s="538">
        <f>0.45*(Q3+Q13)</f>
        <v>2162.2308255071139</v>
      </c>
      <c r="R25" s="77"/>
      <c r="S25" s="77"/>
      <c r="T25" s="604">
        <f>T24</f>
        <v>109.28032142857144</v>
      </c>
      <c r="U25" s="77" t="s">
        <v>108</v>
      </c>
      <c r="V25" s="77" t="s">
        <v>125</v>
      </c>
      <c r="W25" s="77"/>
      <c r="X25" s="77"/>
      <c r="Y25" s="77"/>
      <c r="Z25" s="77"/>
      <c r="AA25" s="77"/>
    </row>
    <row r="26" spans="1:27">
      <c r="A26" s="73" t="s">
        <v>8</v>
      </c>
      <c r="B26" s="73" t="s">
        <v>7</v>
      </c>
      <c r="C26" s="573">
        <v>0</v>
      </c>
      <c r="D26" s="77">
        <v>0</v>
      </c>
      <c r="E26" s="77"/>
      <c r="F26" s="608"/>
      <c r="G26" s="77"/>
      <c r="H26" s="77"/>
      <c r="I26" s="77"/>
      <c r="J26" s="77"/>
      <c r="K26" s="77"/>
      <c r="L26" s="77"/>
      <c r="M26" s="537"/>
      <c r="N26" s="77"/>
      <c r="O26" s="77"/>
      <c r="P26" s="77" t="s">
        <v>273</v>
      </c>
      <c r="Q26" s="77"/>
      <c r="R26" s="77"/>
      <c r="S26" s="77"/>
      <c r="T26" s="534">
        <v>0</v>
      </c>
      <c r="U26" s="77" t="s">
        <v>108</v>
      </c>
      <c r="V26" s="77" t="s">
        <v>125</v>
      </c>
      <c r="W26" s="77"/>
      <c r="X26" s="77"/>
      <c r="Y26" s="77"/>
      <c r="Z26" s="77"/>
      <c r="AA26" s="77"/>
    </row>
    <row r="27" spans="1:27">
      <c r="A27" s="73" t="s">
        <v>8</v>
      </c>
      <c r="B27" s="73" t="s">
        <v>1</v>
      </c>
      <c r="C27" s="608">
        <f>10*D27</f>
        <v>7334130.1383343246</v>
      </c>
      <c r="D27" s="553">
        <f>0.01*0.5*$D$24*(1/3)</f>
        <v>733413.01383343246</v>
      </c>
      <c r="E27" s="77"/>
      <c r="F27" s="608">
        <f>10*G27</f>
        <v>7334130.1383343246</v>
      </c>
      <c r="G27" s="553">
        <f>0.01*0.5*$D$24*(1/3)</f>
        <v>733413.01383343246</v>
      </c>
      <c r="H27" s="77"/>
      <c r="I27" s="77"/>
      <c r="J27" s="77"/>
      <c r="K27" s="77"/>
      <c r="L27" s="77"/>
      <c r="M27" s="77"/>
      <c r="N27" s="77"/>
      <c r="O27" s="77"/>
      <c r="P27" s="77" t="s">
        <v>274</v>
      </c>
      <c r="Q27" s="285">
        <f>(Q24-Q13)/Q3</f>
        <v>0.51671380454398885</v>
      </c>
      <c r="R27" s="77"/>
      <c r="S27" s="77"/>
      <c r="T27" s="534">
        <v>0</v>
      </c>
      <c r="U27" s="77" t="s">
        <v>108</v>
      </c>
      <c r="V27" s="77" t="s">
        <v>125</v>
      </c>
      <c r="W27" s="77"/>
      <c r="X27" s="77"/>
      <c r="Y27" s="77"/>
      <c r="Z27" s="77"/>
      <c r="AA27" s="77"/>
    </row>
    <row r="28" spans="1:27">
      <c r="A28" s="73" t="s">
        <v>8</v>
      </c>
      <c r="B28" s="73" t="s">
        <v>13</v>
      </c>
      <c r="C28" s="573">
        <v>0</v>
      </c>
      <c r="D28" s="77">
        <v>0</v>
      </c>
      <c r="E28" s="77"/>
      <c r="F28" s="77"/>
      <c r="G28" s="77"/>
      <c r="H28" s="77"/>
      <c r="I28" s="77"/>
      <c r="J28" s="77"/>
      <c r="K28" s="77"/>
      <c r="L28" s="77"/>
      <c r="M28" s="77"/>
      <c r="N28" s="77"/>
      <c r="O28" s="77"/>
      <c r="P28" s="77" t="s">
        <v>275</v>
      </c>
      <c r="Q28" s="285">
        <f>Q25/Q3</f>
        <v>0.48328619545601115</v>
      </c>
      <c r="R28" s="77"/>
      <c r="S28" s="77"/>
      <c r="T28" s="534">
        <v>0</v>
      </c>
      <c r="U28" s="77" t="s">
        <v>108</v>
      </c>
      <c r="V28" s="77" t="s">
        <v>128</v>
      </c>
      <c r="W28" s="77"/>
      <c r="X28" s="77"/>
      <c r="Y28" s="77"/>
      <c r="Z28" s="77"/>
      <c r="AA28" s="77"/>
    </row>
    <row r="29" spans="1:27">
      <c r="A29" s="73" t="s">
        <v>9</v>
      </c>
      <c r="B29" s="73" t="s">
        <v>0</v>
      </c>
      <c r="C29" s="608">
        <f>$E$48*(C24-C27)</f>
        <v>182766523.04729137</v>
      </c>
      <c r="D29" s="608">
        <f>$E$48*(D24-D27)</f>
        <v>123008030.68014328</v>
      </c>
      <c r="E29" s="77"/>
      <c r="F29" s="77"/>
      <c r="G29" s="77"/>
      <c r="H29" s="77"/>
      <c r="I29" s="77"/>
      <c r="J29" s="77"/>
      <c r="K29" s="77"/>
      <c r="L29" s="77"/>
      <c r="M29" s="77"/>
      <c r="N29" s="77"/>
      <c r="O29" s="77"/>
      <c r="P29" s="77" t="s">
        <v>283</v>
      </c>
      <c r="Q29" s="77"/>
      <c r="R29" s="77"/>
      <c r="S29" s="77"/>
      <c r="T29" s="534">
        <v>0</v>
      </c>
      <c r="U29" s="77" t="s">
        <v>108</v>
      </c>
      <c r="V29" s="77" t="s">
        <v>128</v>
      </c>
      <c r="W29" s="77"/>
      <c r="X29" s="77"/>
      <c r="Y29" s="77"/>
      <c r="Z29" s="77"/>
      <c r="AA29" s="77"/>
    </row>
    <row r="30" spans="1:27">
      <c r="A30" s="73" t="s">
        <v>9</v>
      </c>
      <c r="B30" s="73" t="s">
        <v>7</v>
      </c>
      <c r="C30" s="573">
        <v>0</v>
      </c>
      <c r="D30" s="77">
        <v>0</v>
      </c>
      <c r="E30" s="77"/>
      <c r="F30" s="77"/>
      <c r="G30" s="77"/>
      <c r="H30" s="77"/>
      <c r="I30" s="77"/>
      <c r="J30" s="77"/>
      <c r="K30" s="77"/>
      <c r="L30" s="77"/>
      <c r="M30" s="77"/>
      <c r="N30" s="77"/>
      <c r="O30" s="77"/>
      <c r="P30" s="77" t="s">
        <v>274</v>
      </c>
      <c r="Q30" s="285">
        <f>1-Q31</f>
        <v>0.50910790039605458</v>
      </c>
      <c r="R30" s="77"/>
      <c r="S30" s="77"/>
      <c r="T30" s="534">
        <v>10.8</v>
      </c>
      <c r="U30" s="77" t="s">
        <v>108</v>
      </c>
      <c r="V30" s="77" t="s">
        <v>128</v>
      </c>
      <c r="W30" s="77"/>
      <c r="X30" s="77"/>
      <c r="Y30" s="77"/>
      <c r="Z30" s="77"/>
      <c r="AA30" s="77"/>
    </row>
    <row r="31" spans="1:27">
      <c r="A31" s="73" t="s">
        <v>9</v>
      </c>
      <c r="B31" s="73" t="s">
        <v>1</v>
      </c>
      <c r="C31" s="77">
        <v>0</v>
      </c>
      <c r="D31" s="77">
        <v>0</v>
      </c>
      <c r="E31" s="77"/>
      <c r="F31" s="77"/>
      <c r="G31" s="77"/>
      <c r="H31" s="77"/>
      <c r="I31" s="77"/>
      <c r="J31" s="77"/>
      <c r="K31" s="77"/>
      <c r="L31" s="77"/>
      <c r="M31" s="77"/>
      <c r="N31" s="77"/>
      <c r="O31" s="77"/>
      <c r="P31" s="77" t="s">
        <v>275</v>
      </c>
      <c r="Q31" s="285">
        <f>Q25/W3</f>
        <v>0.49089209960394542</v>
      </c>
      <c r="R31" s="77"/>
      <c r="S31" s="77"/>
      <c r="T31" s="604">
        <f>T24-T30</f>
        <v>98.480321428571443</v>
      </c>
      <c r="U31" s="77" t="s">
        <v>108</v>
      </c>
      <c r="V31" s="77" t="s">
        <v>128</v>
      </c>
      <c r="W31" s="77"/>
      <c r="X31" s="77"/>
      <c r="Y31" s="77"/>
      <c r="Z31" s="77"/>
      <c r="AA31" s="77"/>
    </row>
    <row r="32" spans="1:27">
      <c r="A32" s="73" t="s">
        <v>9</v>
      </c>
      <c r="B32" s="73" t="s">
        <v>13</v>
      </c>
      <c r="C32" s="77">
        <v>0</v>
      </c>
      <c r="D32" s="77">
        <v>0</v>
      </c>
      <c r="E32" s="77"/>
      <c r="F32" s="77"/>
      <c r="G32" s="77"/>
      <c r="H32" s="77"/>
      <c r="I32" s="77"/>
      <c r="J32" s="77"/>
      <c r="K32" s="77"/>
      <c r="L32" s="77"/>
      <c r="M32" s="77"/>
      <c r="N32" s="77"/>
      <c r="O32" s="77"/>
      <c r="P32" s="77"/>
      <c r="Q32" s="77"/>
      <c r="R32" s="77"/>
      <c r="S32" s="77"/>
      <c r="T32" s="77"/>
      <c r="U32" s="77"/>
      <c r="V32" s="77"/>
      <c r="W32" s="77"/>
      <c r="X32" s="77"/>
      <c r="Y32" s="77"/>
      <c r="Z32" s="77"/>
      <c r="AA32" s="77"/>
    </row>
    <row r="33" spans="1:27">
      <c r="A33" s="73" t="s">
        <v>10</v>
      </c>
      <c r="B33" s="73" t="s">
        <v>0</v>
      </c>
      <c r="C33" s="77">
        <v>0</v>
      </c>
      <c r="D33" s="77">
        <v>0</v>
      </c>
      <c r="E33" s="77"/>
      <c r="F33" s="77"/>
      <c r="G33" s="77"/>
      <c r="H33" s="77"/>
      <c r="I33" s="77"/>
      <c r="J33" s="77"/>
      <c r="K33" s="77"/>
      <c r="L33" s="77"/>
      <c r="M33" s="77"/>
      <c r="N33" s="77"/>
      <c r="O33" s="77"/>
      <c r="P33" s="538"/>
      <c r="Q33" s="77"/>
      <c r="R33" s="77"/>
      <c r="S33" s="77"/>
      <c r="T33" s="77" t="s">
        <v>280</v>
      </c>
      <c r="U33" s="77"/>
      <c r="V33" s="77"/>
      <c r="W33" s="77"/>
      <c r="X33" s="77"/>
      <c r="Y33" s="77"/>
      <c r="Z33" s="77"/>
      <c r="AA33" s="77"/>
    </row>
    <row r="34" spans="1:27">
      <c r="A34" s="73" t="s">
        <v>10</v>
      </c>
      <c r="B34" s="73" t="s">
        <v>7</v>
      </c>
      <c r="C34" s="77">
        <v>0</v>
      </c>
      <c r="D34" s="77">
        <v>0</v>
      </c>
      <c r="E34" s="77"/>
      <c r="F34" s="77"/>
      <c r="G34" s="77"/>
      <c r="H34" s="77"/>
      <c r="I34" s="77"/>
      <c r="J34" s="77"/>
      <c r="K34" s="77"/>
      <c r="L34" s="77"/>
      <c r="M34" s="77"/>
      <c r="N34" s="77"/>
      <c r="O34" s="77"/>
      <c r="P34" s="77"/>
      <c r="Q34" s="77"/>
      <c r="R34" s="77"/>
      <c r="S34" s="77"/>
      <c r="T34" s="538">
        <v>111.42494515135024</v>
      </c>
      <c r="U34" s="77" t="s">
        <v>108</v>
      </c>
      <c r="V34" s="77" t="s">
        <v>281</v>
      </c>
      <c r="W34" s="77"/>
      <c r="X34" s="77"/>
      <c r="Y34" s="77"/>
      <c r="Z34" s="77"/>
      <c r="AA34" s="77"/>
    </row>
    <row r="35" spans="1:27">
      <c r="A35" s="73" t="s">
        <v>10</v>
      </c>
      <c r="B35" s="73" t="s">
        <v>1</v>
      </c>
      <c r="C35" s="77">
        <v>0</v>
      </c>
      <c r="D35" s="77">
        <v>0</v>
      </c>
      <c r="E35" s="77"/>
      <c r="F35" s="77"/>
      <c r="G35" s="77"/>
      <c r="H35" s="77"/>
      <c r="I35" s="77"/>
      <c r="J35" s="77"/>
      <c r="K35" s="77"/>
      <c r="L35" s="77"/>
      <c r="M35" s="77"/>
      <c r="N35" s="77"/>
      <c r="O35" s="77"/>
      <c r="P35" s="77"/>
      <c r="Q35" s="77"/>
      <c r="R35" s="77"/>
      <c r="S35" s="77"/>
      <c r="T35" s="538">
        <f>T34</f>
        <v>111.42494515135024</v>
      </c>
      <c r="U35" s="77" t="s">
        <v>108</v>
      </c>
      <c r="V35" s="77" t="s">
        <v>125</v>
      </c>
      <c r="W35" s="77"/>
      <c r="X35" s="77"/>
      <c r="Y35" s="77"/>
      <c r="Z35" s="77"/>
      <c r="AA35" s="77"/>
    </row>
    <row r="36" spans="1:27">
      <c r="A36" s="73" t="s">
        <v>10</v>
      </c>
      <c r="B36" s="73" t="s">
        <v>13</v>
      </c>
      <c r="C36" s="77">
        <v>0</v>
      </c>
      <c r="D36" s="77">
        <v>0</v>
      </c>
      <c r="E36" s="77"/>
      <c r="F36" s="77"/>
      <c r="G36" s="77"/>
      <c r="H36" s="77"/>
      <c r="I36" s="77"/>
      <c r="J36" s="77"/>
      <c r="K36" s="77"/>
      <c r="L36" s="77"/>
      <c r="M36" s="77"/>
      <c r="N36" s="77"/>
      <c r="O36" s="538"/>
      <c r="P36" s="77"/>
      <c r="Q36" s="77"/>
      <c r="R36" s="77"/>
      <c r="S36" s="77"/>
      <c r="T36" s="77">
        <v>0</v>
      </c>
      <c r="U36" s="77" t="s">
        <v>108</v>
      </c>
      <c r="V36" s="77" t="s">
        <v>125</v>
      </c>
      <c r="W36" s="77"/>
      <c r="X36" s="77"/>
      <c r="Y36" s="77"/>
      <c r="Z36" s="77"/>
      <c r="AA36" s="77"/>
    </row>
    <row r="37" spans="1:27">
      <c r="A37" s="534"/>
      <c r="B37" s="77"/>
      <c r="C37" s="77"/>
      <c r="D37" s="77"/>
      <c r="E37" s="77"/>
      <c r="F37" s="77"/>
      <c r="G37" s="77"/>
      <c r="H37" s="77"/>
      <c r="I37" s="77"/>
      <c r="J37" s="77"/>
      <c r="K37" s="77"/>
      <c r="L37" s="77"/>
      <c r="M37" s="77"/>
      <c r="N37" s="77"/>
      <c r="O37" s="77"/>
      <c r="P37" s="77"/>
      <c r="Q37" s="77"/>
      <c r="R37" s="77"/>
      <c r="S37" s="77"/>
      <c r="T37" s="77">
        <v>0</v>
      </c>
      <c r="U37" s="77" t="s">
        <v>108</v>
      </c>
      <c r="V37" s="77" t="s">
        <v>125</v>
      </c>
      <c r="W37" s="77"/>
      <c r="X37" s="77"/>
      <c r="Y37" s="77"/>
      <c r="Z37" s="77"/>
      <c r="AA37" s="77"/>
    </row>
    <row r="38" spans="1:27">
      <c r="A38" s="77"/>
      <c r="B38" s="77"/>
      <c r="C38" s="77"/>
      <c r="D38" s="77"/>
      <c r="E38" s="77"/>
      <c r="F38" s="77"/>
      <c r="G38" s="77"/>
      <c r="H38" s="77"/>
      <c r="I38" s="77"/>
      <c r="J38" s="77"/>
      <c r="K38" s="77"/>
      <c r="L38" s="77"/>
      <c r="M38" s="77"/>
      <c r="N38" s="77"/>
      <c r="O38" s="77"/>
      <c r="P38" s="77"/>
      <c r="Q38" s="77"/>
      <c r="R38" s="77"/>
      <c r="S38" s="77"/>
      <c r="T38" s="538">
        <v>40.852679560578899</v>
      </c>
      <c r="U38" s="77" t="s">
        <v>108</v>
      </c>
      <c r="V38" s="77" t="s">
        <v>282</v>
      </c>
      <c r="W38" s="77"/>
      <c r="X38" s="77"/>
      <c r="Y38" s="77"/>
      <c r="Z38" s="77"/>
      <c r="AA38" s="77"/>
    </row>
    <row r="39" spans="1:27">
      <c r="A39" s="77" t="s">
        <v>210</v>
      </c>
      <c r="B39" s="77"/>
      <c r="C39" s="77"/>
      <c r="D39" s="77"/>
      <c r="E39" s="77"/>
      <c r="F39" s="77"/>
      <c r="G39" s="77"/>
      <c r="H39" s="77"/>
      <c r="I39" s="77"/>
      <c r="J39" s="77"/>
      <c r="K39" s="77"/>
      <c r="L39" s="77"/>
      <c r="M39" s="77"/>
      <c r="N39" s="77"/>
      <c r="O39" s="538"/>
      <c r="P39" s="77"/>
      <c r="Q39" s="538"/>
      <c r="R39" s="77"/>
      <c r="S39" s="77"/>
      <c r="T39" s="538">
        <v>40.905952425902491</v>
      </c>
      <c r="U39" s="77" t="s">
        <v>108</v>
      </c>
      <c r="V39" s="77" t="s">
        <v>282</v>
      </c>
      <c r="W39" s="77"/>
      <c r="X39" s="77"/>
      <c r="Y39" s="77"/>
      <c r="Z39" s="77"/>
      <c r="AA39" s="77"/>
    </row>
    <row r="40" spans="1:27">
      <c r="A40" s="77" t="s">
        <v>211</v>
      </c>
      <c r="B40" s="213"/>
      <c r="C40" s="77"/>
      <c r="D40" s="77"/>
      <c r="E40" s="77"/>
      <c r="F40" s="77"/>
      <c r="G40" s="77"/>
      <c r="H40" s="77"/>
      <c r="I40" s="77"/>
      <c r="J40" s="77"/>
      <c r="K40" s="77"/>
      <c r="L40" s="77"/>
      <c r="M40" s="77"/>
      <c r="N40" s="77"/>
      <c r="O40" s="538"/>
      <c r="P40" s="77"/>
      <c r="Q40" s="538"/>
      <c r="R40" s="77"/>
      <c r="S40" s="77"/>
      <c r="T40" s="538">
        <v>16.369984534966523</v>
      </c>
      <c r="U40" s="77" t="s">
        <v>108</v>
      </c>
      <c r="V40" s="77" t="s">
        <v>282</v>
      </c>
      <c r="W40" s="77"/>
      <c r="X40" s="77"/>
      <c r="Y40" s="77"/>
      <c r="Z40" s="77"/>
      <c r="AA40" s="77"/>
    </row>
    <row r="41" spans="1:27">
      <c r="A41" s="77" t="s">
        <v>239</v>
      </c>
      <c r="B41" s="77"/>
      <c r="C41" s="77"/>
      <c r="D41" s="77"/>
      <c r="E41" s="77"/>
      <c r="F41" s="77"/>
      <c r="G41" s="77"/>
      <c r="H41" s="77"/>
      <c r="I41" s="77"/>
      <c r="J41" s="77"/>
      <c r="K41" s="77"/>
      <c r="L41" s="77"/>
      <c r="M41" s="77"/>
      <c r="N41" s="77"/>
      <c r="O41" s="77"/>
      <c r="P41" s="77"/>
      <c r="Q41" s="538"/>
      <c r="R41" s="77"/>
      <c r="S41" s="77"/>
      <c r="T41" s="538">
        <v>13.296328629902323</v>
      </c>
      <c r="U41" s="77" t="s">
        <v>108</v>
      </c>
      <c r="V41" s="77" t="s">
        <v>282</v>
      </c>
      <c r="W41" s="77"/>
      <c r="X41" s="77"/>
      <c r="Y41" s="77"/>
      <c r="Z41" s="77"/>
      <c r="AA41" s="77"/>
    </row>
    <row r="42" spans="1:27">
      <c r="A42" s="77" t="s">
        <v>212</v>
      </c>
      <c r="B42" s="77"/>
      <c r="C42" s="77"/>
      <c r="D42" s="77"/>
      <c r="E42" s="77"/>
      <c r="F42" s="77"/>
      <c r="G42" s="77"/>
      <c r="H42" s="77"/>
      <c r="I42" s="77"/>
      <c r="J42" s="77"/>
      <c r="K42" s="77"/>
      <c r="L42" s="77"/>
      <c r="M42" s="77"/>
      <c r="N42" s="77"/>
      <c r="O42" s="77"/>
      <c r="P42" s="77"/>
      <c r="Q42" s="538"/>
      <c r="R42" s="77"/>
      <c r="S42" s="77"/>
      <c r="T42" s="77"/>
      <c r="U42" s="77"/>
      <c r="V42" s="77"/>
      <c r="W42" s="77"/>
      <c r="X42" s="77"/>
      <c r="Y42" s="77"/>
      <c r="Z42" s="77"/>
      <c r="AA42" s="77"/>
    </row>
    <row r="43" spans="1:27">
      <c r="A43" s="77" t="s">
        <v>221</v>
      </c>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row>
    <row r="44" spans="1:27">
      <c r="A44" s="77" t="s">
        <v>213</v>
      </c>
      <c r="B44" s="77" t="s">
        <v>214</v>
      </c>
      <c r="C44" s="77"/>
      <c r="D44" s="77"/>
      <c r="E44" s="77"/>
      <c r="F44" s="77"/>
      <c r="G44" s="77"/>
      <c r="H44" s="77"/>
      <c r="I44" s="77"/>
      <c r="J44" s="77"/>
      <c r="K44" s="77"/>
      <c r="L44" s="77"/>
      <c r="M44" s="77"/>
      <c r="N44" s="77"/>
      <c r="O44" s="77"/>
      <c r="P44" s="77"/>
      <c r="Q44" s="77"/>
      <c r="R44" s="77"/>
      <c r="S44" s="77"/>
      <c r="T44" s="77"/>
      <c r="U44" s="77"/>
      <c r="V44" s="77"/>
      <c r="W44" s="77"/>
      <c r="X44" s="77"/>
      <c r="Y44" s="77"/>
      <c r="Z44" s="77"/>
      <c r="AA44" s="77"/>
    </row>
    <row r="45" spans="1:27">
      <c r="A45" s="77" t="s">
        <v>215</v>
      </c>
      <c r="B45" s="609">
        <v>0.6</v>
      </c>
      <c r="C45" s="77" t="s">
        <v>220</v>
      </c>
      <c r="D45" s="77"/>
      <c r="E45" s="77"/>
      <c r="F45" s="77"/>
      <c r="G45" s="77"/>
      <c r="H45" s="77"/>
      <c r="I45" s="77"/>
      <c r="J45" s="77"/>
      <c r="K45" s="77"/>
      <c r="L45" s="77"/>
      <c r="M45" s="77"/>
      <c r="N45" s="77"/>
      <c r="O45" s="77"/>
      <c r="P45" s="77"/>
      <c r="Q45" s="77"/>
      <c r="R45" s="77"/>
      <c r="S45" s="77"/>
      <c r="T45" s="77"/>
      <c r="U45" s="77"/>
      <c r="V45" s="77"/>
      <c r="W45" s="77"/>
      <c r="X45" s="77"/>
      <c r="Y45" s="77"/>
      <c r="Z45" s="77"/>
      <c r="AA45" s="77"/>
    </row>
    <row r="46" spans="1:27">
      <c r="A46" s="77" t="s">
        <v>216</v>
      </c>
      <c r="B46" s="609">
        <v>0.15</v>
      </c>
      <c r="C46" s="77"/>
      <c r="D46" s="77" t="s">
        <v>240</v>
      </c>
      <c r="E46" s="77"/>
      <c r="F46" s="77"/>
      <c r="G46" s="77"/>
      <c r="H46" s="77"/>
      <c r="I46" s="77"/>
      <c r="J46" s="77"/>
      <c r="K46" s="77"/>
      <c r="L46" s="77"/>
      <c r="M46" s="77"/>
      <c r="N46" s="77"/>
      <c r="O46" s="77"/>
      <c r="P46" s="77"/>
      <c r="Q46" s="77"/>
      <c r="R46" s="77"/>
      <c r="S46" s="77"/>
      <c r="T46" s="77"/>
      <c r="U46" s="77"/>
      <c r="V46" s="77"/>
      <c r="W46" s="77"/>
      <c r="X46" s="77"/>
      <c r="Y46" s="77"/>
      <c r="Z46" s="77"/>
      <c r="AA46" s="77"/>
    </row>
    <row r="47" spans="1:27">
      <c r="A47" s="77" t="s">
        <v>217</v>
      </c>
      <c r="B47" s="609">
        <v>0.05</v>
      </c>
      <c r="C47" s="77"/>
      <c r="D47" s="77" t="s">
        <v>219</v>
      </c>
      <c r="E47" s="77">
        <f>(B49+B45*(2/3))/SUM(B45+B46+B49)</f>
        <v>0.72</v>
      </c>
      <c r="F47" s="77"/>
      <c r="G47" s="77"/>
      <c r="H47" s="77"/>
      <c r="I47" s="77"/>
      <c r="J47" s="77"/>
      <c r="K47" s="77"/>
      <c r="L47" s="77"/>
      <c r="M47" s="77"/>
      <c r="N47" s="77"/>
      <c r="O47" s="77"/>
      <c r="P47" s="77"/>
      <c r="Q47" s="77"/>
      <c r="R47" s="77"/>
      <c r="S47" s="77"/>
      <c r="T47" s="77"/>
      <c r="U47" s="77"/>
      <c r="V47" s="77"/>
      <c r="W47" s="77"/>
      <c r="X47" s="77"/>
      <c r="Y47" s="77"/>
      <c r="Z47" s="77"/>
      <c r="AA47" s="77"/>
    </row>
    <row r="48" spans="1:27">
      <c r="A48" s="77" t="s">
        <v>218</v>
      </c>
      <c r="B48" s="609">
        <v>0.1</v>
      </c>
      <c r="C48" s="77"/>
      <c r="D48" s="77" t="s">
        <v>216</v>
      </c>
      <c r="E48" s="77">
        <f>(B46+B45*1/3)/SUM(B45+B46+B49)</f>
        <v>0.27999999999999997</v>
      </c>
      <c r="F48" s="77"/>
      <c r="G48" s="77"/>
      <c r="H48" s="77"/>
      <c r="I48" s="77"/>
      <c r="J48" s="77"/>
      <c r="K48" s="77"/>
      <c r="L48" s="77"/>
      <c r="M48" s="77"/>
      <c r="N48" s="77"/>
      <c r="O48" s="77"/>
      <c r="P48" s="77"/>
      <c r="Q48" s="77"/>
      <c r="R48" s="77"/>
      <c r="S48" s="77"/>
      <c r="T48" s="77"/>
      <c r="U48" s="77"/>
      <c r="V48" s="77"/>
      <c r="W48" s="77"/>
      <c r="X48" s="77"/>
      <c r="Y48" s="77"/>
      <c r="Z48" s="77"/>
      <c r="AA48" s="77"/>
    </row>
    <row r="49" spans="1:27">
      <c r="A49" s="77" t="s">
        <v>219</v>
      </c>
      <c r="B49" s="609">
        <v>0.5</v>
      </c>
      <c r="C49" s="77"/>
      <c r="D49" s="77"/>
      <c r="E49" s="77"/>
      <c r="F49" s="77"/>
      <c r="G49" s="77"/>
      <c r="H49" s="77"/>
      <c r="I49" s="77"/>
      <c r="J49" s="77"/>
      <c r="K49" s="77"/>
      <c r="L49" s="77"/>
      <c r="M49" s="77"/>
      <c r="N49" s="77"/>
      <c r="O49" s="77"/>
      <c r="P49" s="77"/>
      <c r="Q49" s="77"/>
      <c r="R49" s="77"/>
      <c r="S49" s="77"/>
      <c r="T49" s="77"/>
      <c r="U49" s="77"/>
      <c r="V49" s="77"/>
      <c r="W49" s="77"/>
      <c r="X49" s="77"/>
      <c r="Y49" s="77"/>
      <c r="Z49" s="77"/>
      <c r="AA49" s="77"/>
    </row>
    <row r="50" spans="1:27">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row>
    <row r="51" spans="1:27">
      <c r="A51" s="77" t="s">
        <v>222</v>
      </c>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row>
    <row r="52" spans="1:27">
      <c r="A52" s="77" t="s">
        <v>223</v>
      </c>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row>
    <row r="53" spans="1:27">
      <c r="A53" s="77" t="s">
        <v>224</v>
      </c>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row>
    <row r="54" spans="1:27">
      <c r="A54" s="77" t="s">
        <v>225</v>
      </c>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row>
    <row r="55" spans="1:27">
      <c r="A55" s="77"/>
      <c r="B55" s="77" t="s">
        <v>226</v>
      </c>
      <c r="C55" s="77" t="s">
        <v>227</v>
      </c>
      <c r="D55" s="77" t="s">
        <v>232</v>
      </c>
      <c r="E55" s="77"/>
      <c r="F55" s="77"/>
      <c r="G55" s="77"/>
      <c r="H55" s="77"/>
      <c r="I55" s="77"/>
      <c r="J55" s="77"/>
      <c r="K55" s="77"/>
      <c r="L55" s="77"/>
      <c r="M55" s="77"/>
      <c r="N55" s="77"/>
      <c r="O55" s="77"/>
      <c r="P55" s="77"/>
      <c r="Q55" s="77"/>
      <c r="R55" s="77"/>
      <c r="S55" s="77"/>
      <c r="T55" s="77"/>
      <c r="U55" s="77"/>
      <c r="V55" s="77"/>
      <c r="W55" s="77"/>
      <c r="X55" s="77"/>
      <c r="Y55" s="77"/>
      <c r="Z55" s="77"/>
      <c r="AA55" s="77"/>
    </row>
    <row r="56" spans="1:27">
      <c r="A56" s="538" t="s">
        <v>228</v>
      </c>
      <c r="B56" s="77">
        <v>11</v>
      </c>
      <c r="C56" s="77">
        <v>0.9</v>
      </c>
      <c r="D56" s="77">
        <f>B56*C56/B58</f>
        <v>0.99</v>
      </c>
      <c r="E56" s="77"/>
      <c r="F56" s="77"/>
      <c r="G56" s="77"/>
      <c r="H56" s="77"/>
      <c r="I56" s="77"/>
      <c r="J56" s="77"/>
      <c r="K56" s="77"/>
      <c r="L56" s="77"/>
      <c r="M56" s="77"/>
      <c r="N56" s="77"/>
      <c r="O56" s="77"/>
      <c r="P56" s="77"/>
      <c r="Q56" s="77"/>
      <c r="R56" s="77"/>
      <c r="S56" s="77"/>
      <c r="T56" s="77"/>
      <c r="U56" s="77"/>
      <c r="V56" s="77"/>
      <c r="W56" s="77"/>
      <c r="X56" s="77"/>
      <c r="Y56" s="77"/>
      <c r="Z56" s="77"/>
      <c r="AA56" s="77"/>
    </row>
    <row r="57" spans="1:27">
      <c r="A57" s="77" t="s">
        <v>229</v>
      </c>
      <c r="B57" s="77">
        <v>1</v>
      </c>
      <c r="C57" s="77">
        <v>0.1</v>
      </c>
      <c r="D57" s="77">
        <f>B57*C57/B58</f>
        <v>0.01</v>
      </c>
      <c r="E57" s="77"/>
      <c r="F57" s="77"/>
      <c r="G57" s="77"/>
      <c r="H57" s="77"/>
      <c r="I57" s="77"/>
      <c r="J57" s="77"/>
      <c r="K57" s="77"/>
      <c r="L57" s="77"/>
      <c r="M57" s="77"/>
      <c r="N57" s="77"/>
      <c r="O57" s="77"/>
      <c r="P57" s="77"/>
      <c r="Q57" s="77"/>
      <c r="R57" s="77"/>
      <c r="S57" s="77"/>
      <c r="T57" s="77"/>
      <c r="U57" s="77"/>
      <c r="V57" s="77"/>
      <c r="W57" s="77"/>
      <c r="X57" s="77"/>
      <c r="Y57" s="77"/>
      <c r="Z57" s="77"/>
      <c r="AA57" s="77"/>
    </row>
    <row r="58" spans="1:27">
      <c r="A58" s="216" t="s">
        <v>230</v>
      </c>
      <c r="B58" s="216">
        <f>SUMPRODUCT(B56:B57,C56:C57)</f>
        <v>10</v>
      </c>
      <c r="C58" s="77"/>
      <c r="D58" s="77"/>
      <c r="E58" s="77"/>
      <c r="F58" s="77"/>
      <c r="G58" s="77"/>
      <c r="H58" s="77"/>
      <c r="I58" s="77"/>
      <c r="J58" s="77"/>
      <c r="K58" s="77"/>
      <c r="L58" s="77"/>
      <c r="M58" s="77"/>
      <c r="N58" s="77"/>
      <c r="O58" s="77"/>
      <c r="P58" s="77"/>
      <c r="Q58" s="77"/>
      <c r="R58" s="77"/>
      <c r="S58" s="77"/>
      <c r="T58" s="77"/>
      <c r="U58" s="77"/>
      <c r="V58" s="77"/>
      <c r="W58" s="77"/>
      <c r="X58" s="77"/>
      <c r="Y58" s="77"/>
      <c r="Z58" s="77"/>
      <c r="AA58" s="77"/>
    </row>
    <row r="59" spans="1:27">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row>
    <row r="60" spans="1:27">
      <c r="A60" s="524" t="s">
        <v>231</v>
      </c>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row>
    <row r="61" spans="1:27">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row>
    <row r="62" spans="1:27">
      <c r="A62" s="73" t="s">
        <v>751</v>
      </c>
      <c r="B62" s="73"/>
      <c r="C62" s="77"/>
      <c r="D62" s="77"/>
      <c r="E62" s="77"/>
      <c r="F62" s="77"/>
      <c r="G62" s="77"/>
      <c r="H62" s="77"/>
      <c r="I62" s="77"/>
      <c r="J62" s="77"/>
      <c r="K62" s="77"/>
      <c r="L62" s="77"/>
      <c r="M62" s="77"/>
      <c r="N62" s="77"/>
      <c r="O62" s="77"/>
      <c r="P62" s="77"/>
      <c r="Q62" s="77"/>
      <c r="R62" s="77"/>
      <c r="S62" s="77"/>
      <c r="T62" s="77"/>
      <c r="U62" s="77"/>
      <c r="V62" s="77"/>
      <c r="W62" s="77"/>
      <c r="X62" s="77"/>
      <c r="Y62" s="77"/>
      <c r="Z62" s="77"/>
      <c r="AA62" s="77"/>
    </row>
    <row r="63" spans="1:27">
      <c r="A63" s="73" t="s">
        <v>752</v>
      </c>
      <c r="B63" s="73">
        <v>2.5000000000000001E-2</v>
      </c>
      <c r="C63" s="77" t="s">
        <v>753</v>
      </c>
      <c r="D63" s="77"/>
      <c r="E63" s="77"/>
      <c r="F63" s="77"/>
      <c r="G63" s="77"/>
      <c r="H63" s="77"/>
      <c r="I63" s="77"/>
      <c r="J63" s="77"/>
      <c r="K63" s="77"/>
      <c r="L63" s="77"/>
      <c r="M63" s="77"/>
      <c r="N63" s="77"/>
      <c r="O63" s="77"/>
      <c r="P63" s="77"/>
      <c r="Q63" s="77"/>
      <c r="R63" s="77"/>
      <c r="S63" s="77"/>
      <c r="T63" s="77"/>
      <c r="U63" s="77"/>
      <c r="V63" s="77"/>
      <c r="W63" s="77"/>
      <c r="X63" s="77"/>
      <c r="Y63" s="77"/>
      <c r="Z63" s="77"/>
      <c r="AA63" s="77"/>
    </row>
    <row r="64" spans="1:27">
      <c r="A64" s="73" t="s">
        <v>754</v>
      </c>
      <c r="B64" s="73">
        <v>0.04</v>
      </c>
      <c r="C64" s="77" t="s">
        <v>753</v>
      </c>
      <c r="D64" s="77"/>
      <c r="E64" s="77"/>
      <c r="F64" s="77"/>
      <c r="G64" s="77"/>
      <c r="H64" s="77"/>
      <c r="I64" s="77"/>
      <c r="J64" s="77"/>
      <c r="K64" s="77"/>
      <c r="L64" s="77"/>
      <c r="M64" s="77"/>
      <c r="N64" s="77"/>
      <c r="O64" s="77"/>
      <c r="P64" s="77"/>
      <c r="Q64" s="77"/>
      <c r="R64" s="77"/>
      <c r="S64" s="77"/>
      <c r="T64" s="77"/>
      <c r="U64" s="77"/>
      <c r="V64" s="77"/>
      <c r="W64" s="77"/>
      <c r="X64" s="77"/>
      <c r="Y64" s="77"/>
      <c r="Z64" s="77"/>
      <c r="AA64" s="77"/>
    </row>
    <row r="65" spans="1:4">
      <c r="A65" s="29"/>
      <c r="B65" s="29"/>
    </row>
    <row r="66" spans="1:4">
      <c r="A66" s="10"/>
      <c r="B66" s="21"/>
      <c r="C66" s="29"/>
    </row>
    <row r="67" spans="1:4">
      <c r="A67" s="29"/>
      <c r="B67" s="30"/>
      <c r="C67" s="22"/>
      <c r="D67" s="22"/>
    </row>
    <row r="68" spans="1:4">
      <c r="A68" s="29"/>
      <c r="B68" s="30"/>
      <c r="C68" s="22"/>
      <c r="D68" s="22"/>
    </row>
    <row r="69" spans="1:4">
      <c r="A69" s="29"/>
      <c r="B69" s="29"/>
    </row>
    <row r="70" spans="1:4">
      <c r="A70" s="29"/>
      <c r="B70" s="29"/>
    </row>
    <row r="71" spans="1:4">
      <c r="A71" s="29"/>
      <c r="B71" s="29"/>
    </row>
    <row r="72" spans="1:4">
      <c r="A72" s="10"/>
      <c r="B72" s="21"/>
      <c r="C72" s="29"/>
    </row>
    <row r="73" spans="1:4">
      <c r="A73" s="29"/>
      <c r="B73" s="30"/>
      <c r="C73" s="22"/>
      <c r="D73" s="22"/>
    </row>
    <row r="74" spans="1:4">
      <c r="A74" s="29"/>
      <c r="B74" s="30"/>
      <c r="C74" s="22"/>
      <c r="D74" s="22"/>
    </row>
  </sheetData>
  <sheetProtection sheet="1" objects="1" scenarios="1" formatCells="0" formatColumns="0" formatRows="0" sort="0" autoFilter="0" pivotTables="0"/>
  <phoneticPr fontId="55" type="noConversion"/>
  <pageMargins left="0.75" right="0.75" top="1" bottom="1" header="0.5" footer="0.5"/>
  <pageSetup paperSize="3" scale="49" orientation="landscape" horizontalDpi="4294967292" verticalDpi="4294967292"/>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34998626667073579"/>
    <pageSetUpPr fitToPage="1"/>
  </sheetPr>
  <dimension ref="A1:I39"/>
  <sheetViews>
    <sheetView workbookViewId="0">
      <selection activeCell="B2" sqref="B2"/>
    </sheetView>
  </sheetViews>
  <sheetFormatPr baseColWidth="10" defaultRowHeight="13"/>
  <cols>
    <col min="1" max="1" width="46" style="12" customWidth="1"/>
    <col min="2" max="2" width="21.83203125" style="12" customWidth="1"/>
    <col min="3" max="3" width="12.83203125" style="12" customWidth="1"/>
    <col min="4" max="4" width="11" style="12" customWidth="1"/>
    <col min="5" max="5" width="12.83203125" style="12" customWidth="1"/>
    <col min="6" max="16384" width="10.83203125" style="12"/>
  </cols>
  <sheetData>
    <row r="1" spans="1:9" ht="52">
      <c r="A1" s="216" t="s">
        <v>248</v>
      </c>
      <c r="B1" s="522" t="s">
        <v>928</v>
      </c>
      <c r="C1" s="522" t="s">
        <v>171</v>
      </c>
      <c r="D1" s="522" t="s">
        <v>243</v>
      </c>
      <c r="E1" s="77"/>
      <c r="F1" s="77"/>
      <c r="G1" s="77"/>
      <c r="H1" s="77"/>
      <c r="I1" s="77"/>
    </row>
    <row r="2" spans="1:9" ht="14" thickBot="1">
      <c r="A2" s="610" t="s">
        <v>245</v>
      </c>
      <c r="B2" s="561"/>
      <c r="C2" s="558">
        <v>274046429.35956633</v>
      </c>
      <c r="D2" s="611">
        <f>D8</f>
        <v>65829962.207105063</v>
      </c>
      <c r="E2" s="77"/>
      <c r="F2" s="77"/>
      <c r="G2" s="77"/>
      <c r="H2" s="77"/>
      <c r="I2" s="77"/>
    </row>
    <row r="3" spans="1:9" ht="15" thickTop="1" thickBot="1">
      <c r="A3" s="77" t="s">
        <v>23</v>
      </c>
      <c r="B3" s="77"/>
      <c r="C3" s="612">
        <v>53676699.071078151</v>
      </c>
      <c r="D3" s="611">
        <f>D9</f>
        <v>19791595.225318454</v>
      </c>
      <c r="E3" s="77"/>
      <c r="F3" s="77"/>
      <c r="G3" s="77"/>
      <c r="H3" s="77"/>
      <c r="I3" s="77"/>
    </row>
    <row r="4" spans="1:9" ht="15" thickTop="1" thickBot="1">
      <c r="A4" s="613" t="s">
        <v>25</v>
      </c>
      <c r="B4" s="613"/>
      <c r="C4" s="614">
        <v>241508642.15443036</v>
      </c>
      <c r="D4" s="611">
        <f>D10</f>
        <v>41858361.913219959</v>
      </c>
      <c r="E4" s="77"/>
      <c r="F4" s="77"/>
      <c r="G4" s="77"/>
      <c r="H4" s="77"/>
      <c r="I4" s="77"/>
    </row>
    <row r="5" spans="1:9" ht="15" thickTop="1" thickBot="1">
      <c r="A5" s="616" t="s">
        <v>24</v>
      </c>
      <c r="B5" s="616"/>
      <c r="C5" s="617">
        <v>-21138911.865942173</v>
      </c>
      <c r="D5" s="611">
        <f>D11</f>
        <v>4180005.0685660052</v>
      </c>
      <c r="E5" s="77"/>
      <c r="F5" s="77"/>
      <c r="G5" s="77"/>
      <c r="H5" s="77"/>
      <c r="I5" s="77"/>
    </row>
    <row r="6" spans="1:9" ht="14" thickTop="1">
      <c r="A6" s="77"/>
      <c r="B6" s="77"/>
      <c r="C6" s="77"/>
      <c r="D6" s="77"/>
      <c r="E6" s="77"/>
      <c r="F6" s="77"/>
      <c r="G6" s="77"/>
      <c r="H6" s="77"/>
      <c r="I6" s="77"/>
    </row>
    <row r="7" spans="1:9" ht="52">
      <c r="A7" s="216" t="s">
        <v>249</v>
      </c>
      <c r="B7" s="522" t="s">
        <v>928</v>
      </c>
      <c r="C7" s="522" t="s">
        <v>171</v>
      </c>
      <c r="D7" s="522" t="s">
        <v>243</v>
      </c>
      <c r="E7" s="77"/>
      <c r="F7" s="77"/>
      <c r="G7" s="77"/>
      <c r="H7" s="77"/>
      <c r="I7" s="77"/>
    </row>
    <row r="8" spans="1:9" ht="14" thickBot="1">
      <c r="A8" s="610" t="s">
        <v>245</v>
      </c>
      <c r="B8" s="561"/>
      <c r="C8" s="558">
        <v>-17536525006.569786</v>
      </c>
      <c r="D8" s="611">
        <v>65829962.207105063</v>
      </c>
      <c r="E8" s="77"/>
      <c r="F8" s="77"/>
      <c r="G8" s="77"/>
      <c r="H8" s="77"/>
      <c r="I8" s="77"/>
    </row>
    <row r="9" spans="1:9" ht="15" thickTop="1" thickBot="1">
      <c r="A9" s="77" t="s">
        <v>23</v>
      </c>
      <c r="B9" s="77"/>
      <c r="C9" s="612">
        <v>-11484127646.161278</v>
      </c>
      <c r="D9" s="611">
        <v>19791595.225318454</v>
      </c>
      <c r="E9" s="77"/>
      <c r="F9" s="77"/>
      <c r="G9" s="77"/>
      <c r="H9" s="77"/>
      <c r="I9" s="77"/>
    </row>
    <row r="10" spans="1:9" ht="15" thickTop="1" thickBot="1">
      <c r="A10" s="613" t="s">
        <v>25</v>
      </c>
      <c r="B10" s="613"/>
      <c r="C10" s="614">
        <v>-10673611957.691549</v>
      </c>
      <c r="D10" s="615">
        <v>41858361.913219959</v>
      </c>
      <c r="E10" s="77"/>
      <c r="F10" s="77"/>
      <c r="G10" s="77"/>
      <c r="H10" s="77"/>
      <c r="I10" s="77"/>
    </row>
    <row r="11" spans="1:9" ht="15" thickTop="1" thickBot="1">
      <c r="A11" s="616" t="s">
        <v>24</v>
      </c>
      <c r="B11" s="616"/>
      <c r="C11" s="617">
        <v>4621214597.283042</v>
      </c>
      <c r="D11" s="615">
        <v>4180005.0685660052</v>
      </c>
      <c r="E11" s="77"/>
      <c r="F11" s="77"/>
      <c r="G11" s="77"/>
      <c r="H11" s="77"/>
      <c r="I11" s="77"/>
    </row>
    <row r="12" spans="1:9" ht="14" thickTop="1">
      <c r="A12" s="77"/>
      <c r="B12" s="77"/>
      <c r="C12" s="77"/>
      <c r="D12" s="77"/>
      <c r="E12" s="77"/>
      <c r="F12" s="77"/>
      <c r="G12" s="77"/>
      <c r="H12" s="77"/>
      <c r="I12" s="77"/>
    </row>
    <row r="13" spans="1:9">
      <c r="A13" s="216" t="s">
        <v>246</v>
      </c>
      <c r="B13" s="77"/>
      <c r="C13" s="77"/>
      <c r="D13" s="77"/>
      <c r="E13" s="77"/>
      <c r="F13" s="77"/>
      <c r="G13" s="77"/>
      <c r="H13" s="77"/>
      <c r="I13" s="77"/>
    </row>
    <row r="14" spans="1:9">
      <c r="A14" s="77" t="s">
        <v>955</v>
      </c>
      <c r="B14" s="77"/>
      <c r="C14" s="77"/>
      <c r="D14" s="77"/>
      <c r="E14" s="77"/>
      <c r="F14" s="77"/>
      <c r="G14" s="77"/>
      <c r="H14" s="77"/>
      <c r="I14" s="77"/>
    </row>
    <row r="15" spans="1:9">
      <c r="A15" s="77" t="s">
        <v>247</v>
      </c>
      <c r="B15" s="77"/>
      <c r="C15" s="77"/>
      <c r="D15" s="77"/>
      <c r="E15" s="77"/>
      <c r="F15" s="77"/>
      <c r="G15" s="77"/>
      <c r="H15" s="77"/>
      <c r="I15" s="77"/>
    </row>
    <row r="16" spans="1:9">
      <c r="A16" s="77" t="s">
        <v>250</v>
      </c>
      <c r="B16" s="77"/>
      <c r="C16" s="77"/>
      <c r="D16" s="77"/>
      <c r="E16" s="77"/>
      <c r="F16" s="77"/>
      <c r="G16" s="77"/>
      <c r="H16" s="77"/>
      <c r="I16" s="77"/>
    </row>
    <row r="17" spans="1:9">
      <c r="A17" s="531" t="s">
        <v>251</v>
      </c>
      <c r="B17" s="77"/>
      <c r="C17" s="77"/>
      <c r="D17" s="77"/>
      <c r="E17" s="77"/>
      <c r="F17" s="77"/>
      <c r="G17" s="77"/>
      <c r="H17" s="77"/>
      <c r="I17" s="77"/>
    </row>
    <row r="18" spans="1:9">
      <c r="A18" s="531" t="s">
        <v>284</v>
      </c>
      <c r="B18" s="77"/>
      <c r="C18" s="77"/>
      <c r="D18" s="77"/>
      <c r="E18" s="77"/>
      <c r="F18" s="77"/>
      <c r="G18" s="77"/>
      <c r="H18" s="77"/>
      <c r="I18" s="77"/>
    </row>
    <row r="19" spans="1:9">
      <c r="A19" s="77"/>
      <c r="B19" s="77"/>
      <c r="C19" s="77"/>
      <c r="D19" s="77"/>
      <c r="E19" s="77"/>
      <c r="F19" s="77"/>
      <c r="G19" s="77"/>
      <c r="H19" s="77"/>
      <c r="I19" s="77"/>
    </row>
    <row r="20" spans="1:9">
      <c r="A20" s="26"/>
      <c r="F20" s="77"/>
      <c r="G20" s="77"/>
      <c r="H20" s="77"/>
      <c r="I20" s="77"/>
    </row>
    <row r="39" spans="2:2">
      <c r="B39" s="13"/>
    </row>
  </sheetData>
  <sheetProtection sheet="1" objects="1" scenarios="1" formatCells="0" formatColumns="0" formatRows="0" sort="0" autoFilter="0" pivotTables="0"/>
  <phoneticPr fontId="55" type="noConversion"/>
  <pageMargins left="0.75" right="0.75" top="1" bottom="1" header="0.5" footer="0.5"/>
  <pageSetup paperSize="3" orientation="landscape" horizontalDpi="4294967292" verticalDpi="429496729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34998626667073579"/>
    <pageSetUpPr fitToPage="1"/>
  </sheetPr>
  <dimension ref="A1:Z114"/>
  <sheetViews>
    <sheetView workbookViewId="0">
      <selection activeCell="B2" sqref="B2"/>
    </sheetView>
  </sheetViews>
  <sheetFormatPr baseColWidth="10" defaultRowHeight="13"/>
  <cols>
    <col min="1" max="1" width="15.33203125" style="16" customWidth="1"/>
    <col min="2" max="2" width="32" style="16" customWidth="1"/>
    <col min="3" max="3" width="33.5" style="16" customWidth="1"/>
    <col min="4" max="4" width="32.5" style="16" customWidth="1"/>
    <col min="5" max="6" width="10.83203125" style="16"/>
    <col min="7" max="7" width="12.33203125" style="16" customWidth="1"/>
    <col min="8" max="9" width="10.83203125" style="16"/>
    <col min="10" max="10" width="12.33203125" style="16" customWidth="1"/>
    <col min="11" max="15" width="10.83203125" style="16"/>
    <col min="16" max="16" width="33.1640625" style="16" customWidth="1"/>
    <col min="17" max="17" width="14.83203125" style="16" customWidth="1"/>
    <col min="18" max="21" width="12.1640625" style="16" bestFit="1" customWidth="1"/>
    <col min="22" max="22" width="12.1640625" style="16" customWidth="1"/>
    <col min="23" max="24" width="12.1640625" style="16" bestFit="1" customWidth="1"/>
    <col min="25" max="25" width="12.1640625" style="16" customWidth="1"/>
    <col min="26" max="26" width="12.1640625" style="16" bestFit="1" customWidth="1"/>
    <col min="27" max="16384" width="10.83203125" style="16"/>
  </cols>
  <sheetData>
    <row r="1" spans="1:26">
      <c r="A1" s="232" t="s">
        <v>586</v>
      </c>
      <c r="B1" s="232"/>
      <c r="C1" s="232"/>
      <c r="D1" s="232"/>
      <c r="E1" s="232"/>
      <c r="F1" s="232"/>
      <c r="G1" s="232"/>
      <c r="H1" s="232"/>
      <c r="I1" s="232"/>
      <c r="J1" s="232"/>
      <c r="K1" s="232"/>
      <c r="L1" s="232"/>
      <c r="M1" s="232"/>
      <c r="N1" s="232"/>
      <c r="O1" s="232"/>
      <c r="P1" s="232"/>
      <c r="Q1" s="232"/>
      <c r="R1" s="232"/>
      <c r="S1" s="232"/>
      <c r="T1" s="232"/>
      <c r="U1" s="232"/>
      <c r="V1" s="232"/>
      <c r="W1" s="232"/>
      <c r="X1" s="232"/>
      <c r="Y1" s="232"/>
      <c r="Z1" s="232"/>
    </row>
    <row r="2" spans="1:26">
      <c r="A2" s="232" t="s">
        <v>587</v>
      </c>
      <c r="B2" s="232">
        <v>3.7854099999999999E-3</v>
      </c>
      <c r="C2" s="232" t="s">
        <v>70</v>
      </c>
      <c r="D2" s="232"/>
      <c r="E2" s="232"/>
      <c r="F2" s="232"/>
      <c r="G2" s="232"/>
      <c r="H2" s="232" t="s">
        <v>588</v>
      </c>
      <c r="I2" s="232">
        <v>325851</v>
      </c>
      <c r="J2" s="232" t="s">
        <v>587</v>
      </c>
      <c r="K2" s="232"/>
      <c r="L2" s="232"/>
      <c r="M2" s="232"/>
      <c r="N2" s="232"/>
      <c r="O2" s="232"/>
      <c r="P2" s="232"/>
      <c r="Q2" s="232"/>
      <c r="R2" s="232"/>
      <c r="S2" s="232"/>
      <c r="T2" s="232"/>
      <c r="U2" s="232"/>
      <c r="V2" s="232"/>
      <c r="W2" s="232"/>
      <c r="X2" s="232"/>
      <c r="Y2" s="232"/>
      <c r="Z2" s="232"/>
    </row>
    <row r="3" spans="1:26">
      <c r="A3" s="232"/>
      <c r="B3" s="232"/>
      <c r="C3" s="232"/>
      <c r="D3" s="232"/>
      <c r="E3" s="232"/>
      <c r="F3" s="232"/>
      <c r="G3" s="845" t="s">
        <v>589</v>
      </c>
      <c r="H3" s="846"/>
      <c r="I3" s="618"/>
      <c r="J3" s="847" t="s">
        <v>590</v>
      </c>
      <c r="K3" s="847"/>
      <c r="L3" s="618"/>
      <c r="M3" s="618"/>
      <c r="N3" s="619" t="s">
        <v>591</v>
      </c>
      <c r="O3" s="244"/>
      <c r="P3" s="232"/>
      <c r="Q3" s="232"/>
      <c r="R3" s="232"/>
      <c r="S3" s="232"/>
      <c r="T3" s="232"/>
      <c r="U3" s="232"/>
      <c r="V3" s="232"/>
      <c r="W3" s="232"/>
      <c r="X3" s="232"/>
      <c r="Y3" s="232"/>
      <c r="Z3" s="232"/>
    </row>
    <row r="4" spans="1:26" ht="39">
      <c r="A4" s="232" t="s">
        <v>592</v>
      </c>
      <c r="B4" s="620" t="s">
        <v>593</v>
      </c>
      <c r="C4" s="621" t="s">
        <v>594</v>
      </c>
      <c r="D4" s="621" t="s">
        <v>595</v>
      </c>
      <c r="E4" s="621" t="s">
        <v>596</v>
      </c>
      <c r="F4" s="621" t="s">
        <v>597</v>
      </c>
      <c r="G4" s="622" t="s">
        <v>598</v>
      </c>
      <c r="H4" s="622" t="s">
        <v>599</v>
      </c>
      <c r="I4" s="622" t="s">
        <v>600</v>
      </c>
      <c r="J4" s="622" t="s">
        <v>598</v>
      </c>
      <c r="K4" s="622" t="s">
        <v>599</v>
      </c>
      <c r="L4" s="622" t="s">
        <v>600</v>
      </c>
      <c r="M4" s="622" t="s">
        <v>2</v>
      </c>
      <c r="N4" s="622" t="s">
        <v>70</v>
      </c>
      <c r="O4" s="623"/>
      <c r="P4" s="232"/>
      <c r="Q4" s="623" t="s">
        <v>601</v>
      </c>
      <c r="R4" s="623" t="s">
        <v>602</v>
      </c>
      <c r="S4" s="623" t="s">
        <v>603</v>
      </c>
      <c r="T4" s="232"/>
      <c r="U4" s="232"/>
      <c r="V4" s="232"/>
      <c r="W4" s="232"/>
      <c r="X4" s="232"/>
      <c r="Y4" s="232"/>
      <c r="Z4" s="232"/>
    </row>
    <row r="5" spans="1:26">
      <c r="A5" s="624">
        <v>286</v>
      </c>
      <c r="B5" s="625">
        <v>4591707</v>
      </c>
      <c r="C5" s="624">
        <v>2014</v>
      </c>
      <c r="D5" s="626" t="s">
        <v>623</v>
      </c>
      <c r="E5" s="626" t="s">
        <v>267</v>
      </c>
      <c r="F5" s="626" t="s">
        <v>620</v>
      </c>
      <c r="G5" s="345">
        <v>695259.74379480013</v>
      </c>
      <c r="H5" s="345">
        <f t="shared" ref="H5:H68" si="0">G5</f>
        <v>695259.74379480013</v>
      </c>
      <c r="I5" s="345" t="s">
        <v>216</v>
      </c>
      <c r="J5" s="345">
        <f>12.77*10^6*365*$B$2</f>
        <v>17643985.280499998</v>
      </c>
      <c r="K5" s="345">
        <f>12.77*10^6*365*$B$2</f>
        <v>17643985.280499998</v>
      </c>
      <c r="L5" s="345" t="s">
        <v>604</v>
      </c>
      <c r="M5" s="345" t="s">
        <v>605</v>
      </c>
      <c r="N5" s="345">
        <v>46930032.706148989</v>
      </c>
      <c r="O5" s="345"/>
      <c r="P5" s="232" t="s">
        <v>606</v>
      </c>
      <c r="Q5" s="345">
        <v>45142.853400000007</v>
      </c>
      <c r="R5" s="345">
        <v>453060.2034</v>
      </c>
      <c r="S5" s="345">
        <v>45686.743200000026</v>
      </c>
      <c r="T5" s="232" t="s">
        <v>607</v>
      </c>
      <c r="U5" s="232"/>
      <c r="V5" s="232"/>
      <c r="W5" s="232"/>
      <c r="X5" s="232"/>
      <c r="Y5" s="232"/>
      <c r="Z5" s="232"/>
    </row>
    <row r="6" spans="1:26">
      <c r="A6" s="624">
        <v>299</v>
      </c>
      <c r="B6" s="625">
        <v>274996</v>
      </c>
      <c r="C6" s="624">
        <v>2014</v>
      </c>
      <c r="D6" s="626" t="s">
        <v>621</v>
      </c>
      <c r="E6" s="626" t="s">
        <v>267</v>
      </c>
      <c r="F6" s="626" t="s">
        <v>624</v>
      </c>
      <c r="G6" s="345">
        <v>41638.904334400002</v>
      </c>
      <c r="H6" s="345">
        <f t="shared" si="0"/>
        <v>41638.904334400002</v>
      </c>
      <c r="I6" s="345" t="s">
        <v>216</v>
      </c>
      <c r="J6" s="232">
        <v>0</v>
      </c>
      <c r="K6" s="232">
        <v>0</v>
      </c>
      <c r="L6" s="345"/>
      <c r="M6" s="345"/>
      <c r="N6" s="345">
        <v>1926031.6854232233</v>
      </c>
      <c r="O6" s="345"/>
      <c r="P6" s="232" t="s">
        <v>608</v>
      </c>
      <c r="Q6" s="345">
        <f>SUMIF($I$5:$I$73,"surface water",$G$5:$G$73)</f>
        <v>6226216.278250399</v>
      </c>
      <c r="R6" s="345">
        <f>SUMIF($I$5:$I$73,"groundwater",$G$5:H$73)</f>
        <v>12010966.682774359</v>
      </c>
      <c r="S6" s="345">
        <f>SUMIF($I$5:$I$73,"reclaimed water",$G$5:I$73)</f>
        <v>0</v>
      </c>
      <c r="T6" s="232"/>
      <c r="U6" s="232"/>
      <c r="V6" s="232"/>
      <c r="W6" s="232"/>
      <c r="X6" s="232"/>
      <c r="Y6" s="232"/>
      <c r="Z6" s="232"/>
    </row>
    <row r="7" spans="1:26">
      <c r="A7" s="624">
        <v>510</v>
      </c>
      <c r="B7" s="625">
        <v>318272</v>
      </c>
      <c r="C7" s="624">
        <v>2014</v>
      </c>
      <c r="D7" s="626" t="s">
        <v>622</v>
      </c>
      <c r="E7" s="626" t="s">
        <v>267</v>
      </c>
      <c r="F7" s="626" t="s">
        <v>620</v>
      </c>
      <c r="G7" s="345">
        <v>48191.600460800008</v>
      </c>
      <c r="H7" s="345">
        <f t="shared" si="0"/>
        <v>48191.600460800008</v>
      </c>
      <c r="I7" s="345" t="s">
        <v>216</v>
      </c>
      <c r="J7" s="345">
        <v>0</v>
      </c>
      <c r="K7" s="345">
        <v>0</v>
      </c>
      <c r="L7" s="345"/>
      <c r="M7" s="345"/>
      <c r="N7" s="345">
        <v>3252933.0311039998</v>
      </c>
      <c r="O7" s="345"/>
      <c r="P7" s="232" t="s">
        <v>609</v>
      </c>
      <c r="Q7" s="345">
        <f>SUM(N5:N73)</f>
        <v>128889402.36592908</v>
      </c>
      <c r="R7" s="232"/>
      <c r="S7" s="232"/>
      <c r="T7" s="232"/>
      <c r="U7" s="232"/>
      <c r="V7" s="232"/>
      <c r="W7" s="232"/>
      <c r="X7" s="232"/>
      <c r="Y7" s="232"/>
      <c r="Z7" s="232"/>
    </row>
    <row r="8" spans="1:26">
      <c r="A8" s="624">
        <v>902</v>
      </c>
      <c r="B8" s="625">
        <v>69072</v>
      </c>
      <c r="C8" s="624">
        <v>2014</v>
      </c>
      <c r="D8" s="626" t="s">
        <v>622</v>
      </c>
      <c r="E8" s="626" t="s">
        <v>654</v>
      </c>
      <c r="F8" s="626" t="s">
        <v>620</v>
      </c>
      <c r="G8" s="345">
        <v>10458.6335808</v>
      </c>
      <c r="H8" s="345">
        <f t="shared" si="0"/>
        <v>10458.6335808</v>
      </c>
      <c r="I8" s="345" t="s">
        <v>216</v>
      </c>
      <c r="J8" s="345">
        <v>0</v>
      </c>
      <c r="K8" s="345">
        <v>0</v>
      </c>
      <c r="L8" s="345"/>
      <c r="M8" s="345"/>
      <c r="N8" s="345">
        <v>705957.76670400007</v>
      </c>
      <c r="O8" s="345"/>
      <c r="P8" s="232" t="s">
        <v>610</v>
      </c>
      <c r="Q8" s="345">
        <f>SUMIF($L$5:$L$73,"surface water",$J$5:$J$73)</f>
        <v>0</v>
      </c>
      <c r="R8" s="345">
        <f>SUMIF($L$5:$L$73,"groundwater",$J$5:$J$73)</f>
        <v>3007224.4682636103</v>
      </c>
      <c r="S8" s="345">
        <f>SUMIF($L$5:$L$73,"reclaimed water",$J$5:$J$73)</f>
        <v>17643985.280499998</v>
      </c>
      <c r="T8" s="232"/>
      <c r="U8" s="232"/>
      <c r="V8" s="232"/>
      <c r="W8" s="232"/>
      <c r="X8" s="232"/>
      <c r="Y8" s="232"/>
      <c r="Z8" s="232"/>
    </row>
    <row r="9" spans="1:26">
      <c r="A9" s="624">
        <v>7368</v>
      </c>
      <c r="B9" s="625">
        <v>469471</v>
      </c>
      <c r="C9" s="624">
        <v>2014</v>
      </c>
      <c r="D9" s="626" t="s">
        <v>622</v>
      </c>
      <c r="E9" s="626" t="s">
        <v>654</v>
      </c>
      <c r="F9" s="626" t="s">
        <v>620</v>
      </c>
      <c r="G9" s="345">
        <v>71085.608724399994</v>
      </c>
      <c r="H9" s="345">
        <f t="shared" si="0"/>
        <v>71085.608724399994</v>
      </c>
      <c r="I9" s="345" t="s">
        <v>216</v>
      </c>
      <c r="J9" s="345">
        <v>0</v>
      </c>
      <c r="K9" s="345">
        <v>0</v>
      </c>
      <c r="L9" s="345"/>
      <c r="M9" s="345"/>
      <c r="N9" s="345">
        <v>4798278.588897001</v>
      </c>
      <c r="O9" s="345"/>
      <c r="P9" s="232"/>
      <c r="Q9" s="232"/>
      <c r="R9" s="232"/>
      <c r="S9" s="232"/>
      <c r="T9" s="232"/>
      <c r="U9" s="232"/>
      <c r="V9" s="232"/>
      <c r="W9" s="232"/>
      <c r="X9" s="232"/>
      <c r="Y9" s="232"/>
      <c r="Z9" s="232"/>
    </row>
    <row r="10" spans="1:26">
      <c r="A10" s="624">
        <v>7369</v>
      </c>
      <c r="B10" s="625">
        <v>371135</v>
      </c>
      <c r="C10" s="624">
        <v>2014</v>
      </c>
      <c r="D10" s="626" t="s">
        <v>622</v>
      </c>
      <c r="E10" s="626" t="s">
        <v>654</v>
      </c>
      <c r="F10" s="626" t="s">
        <v>620</v>
      </c>
      <c r="G10" s="345">
        <v>56195.925614</v>
      </c>
      <c r="H10" s="345">
        <f t="shared" si="0"/>
        <v>56195.925614</v>
      </c>
      <c r="I10" s="345" t="s">
        <v>216</v>
      </c>
      <c r="J10" s="345">
        <v>0</v>
      </c>
      <c r="K10" s="345">
        <v>0</v>
      </c>
      <c r="L10" s="345"/>
      <c r="M10" s="345"/>
      <c r="N10" s="345">
        <v>3793224.9789450006</v>
      </c>
      <c r="O10" s="345"/>
      <c r="P10" s="251" t="s">
        <v>48</v>
      </c>
      <c r="Q10" s="345">
        <f>SUM(Q5:Q8)</f>
        <v>135160761.49757949</v>
      </c>
      <c r="R10" s="345">
        <f>SUM(R5:R8)</f>
        <v>15471251.35443797</v>
      </c>
      <c r="S10" s="345">
        <f>SUM(S5:S8)</f>
        <v>17689672.023699999</v>
      </c>
      <c r="T10" s="232"/>
      <c r="U10" s="232"/>
      <c r="V10" s="232"/>
      <c r="W10" s="232"/>
      <c r="X10" s="232"/>
      <c r="Y10" s="232"/>
      <c r="Z10" s="232"/>
    </row>
    <row r="11" spans="1:26">
      <c r="A11" s="624">
        <v>10018</v>
      </c>
      <c r="B11" s="625">
        <v>73103</v>
      </c>
      <c r="C11" s="624">
        <v>2014</v>
      </c>
      <c r="D11" s="626" t="s">
        <v>621</v>
      </c>
      <c r="E11" s="626" t="s">
        <v>267</v>
      </c>
      <c r="F11" s="626" t="s">
        <v>624</v>
      </c>
      <c r="G11" s="345">
        <v>11068.993089199999</v>
      </c>
      <c r="H11" s="345">
        <f t="shared" si="0"/>
        <v>11068.993089199999</v>
      </c>
      <c r="I11" s="345" t="s">
        <v>216</v>
      </c>
      <c r="J11" s="232">
        <v>0</v>
      </c>
      <c r="K11" s="232">
        <v>0</v>
      </c>
      <c r="L11" s="345"/>
      <c r="M11" s="345"/>
      <c r="N11" s="345">
        <v>0</v>
      </c>
      <c r="O11" s="345"/>
      <c r="P11" s="232"/>
      <c r="Q11" s="232"/>
      <c r="R11" s="232"/>
      <c r="S11" s="232"/>
      <c r="T11" s="232"/>
      <c r="U11" s="232"/>
      <c r="V11" s="232"/>
      <c r="W11" s="232"/>
      <c r="X11" s="232"/>
      <c r="Y11" s="232"/>
      <c r="Z11" s="232"/>
    </row>
    <row r="12" spans="1:26">
      <c r="A12" s="624">
        <v>10199</v>
      </c>
      <c r="B12" s="625">
        <v>207225</v>
      </c>
      <c r="C12" s="624">
        <v>2014</v>
      </c>
      <c r="D12" s="626" t="s">
        <v>622</v>
      </c>
      <c r="E12" s="626" t="s">
        <v>267</v>
      </c>
      <c r="F12" s="626" t="s">
        <v>620</v>
      </c>
      <c r="G12" s="345">
        <v>31377.263489999998</v>
      </c>
      <c r="H12" s="345">
        <f t="shared" si="0"/>
        <v>31377.263489999998</v>
      </c>
      <c r="I12" s="345" t="s">
        <v>216</v>
      </c>
      <c r="J12" s="345">
        <v>0</v>
      </c>
      <c r="K12" s="345">
        <v>0</v>
      </c>
      <c r="L12" s="345"/>
      <c r="M12" s="345"/>
      <c r="N12" s="345">
        <v>2117965.2855750001</v>
      </c>
      <c r="O12" s="345"/>
      <c r="P12" s="232" t="s">
        <v>57</v>
      </c>
      <c r="Q12" s="345">
        <f>SUM(Q5:Q8,R5:R8)</f>
        <v>150632012.85201743</v>
      </c>
      <c r="R12" s="232" t="s">
        <v>70</v>
      </c>
      <c r="S12" s="232"/>
      <c r="T12" s="232"/>
      <c r="U12" s="232"/>
      <c r="V12" s="232"/>
      <c r="W12" s="232"/>
      <c r="X12" s="232"/>
      <c r="Y12" s="232"/>
      <c r="Z12" s="232"/>
    </row>
    <row r="13" spans="1:26">
      <c r="A13" s="624">
        <v>10287</v>
      </c>
      <c r="B13" s="625">
        <v>12224</v>
      </c>
      <c r="C13" s="624">
        <v>2014</v>
      </c>
      <c r="D13" s="626" t="s">
        <v>621</v>
      </c>
      <c r="E13" s="626" t="s">
        <v>267</v>
      </c>
      <c r="F13" s="626" t="s">
        <v>620</v>
      </c>
      <c r="G13" s="345">
        <v>29021.61387246602</v>
      </c>
      <c r="H13" s="345">
        <f t="shared" si="0"/>
        <v>29021.61387246602</v>
      </c>
      <c r="I13" s="345" t="s">
        <v>216</v>
      </c>
      <c r="J13" s="232">
        <v>0</v>
      </c>
      <c r="K13" s="232">
        <v>0</v>
      </c>
      <c r="L13" s="345"/>
      <c r="M13" s="345"/>
      <c r="N13" s="345">
        <v>103103.10191533981</v>
      </c>
      <c r="O13" s="345"/>
      <c r="P13" s="232" t="s">
        <v>611</v>
      </c>
      <c r="Q13" s="345">
        <f>SUM(S5:S8)</f>
        <v>17689672.023699999</v>
      </c>
      <c r="R13" s="232" t="s">
        <v>70</v>
      </c>
      <c r="S13" s="232"/>
      <c r="T13" s="232"/>
      <c r="U13" s="232"/>
      <c r="V13" s="232"/>
      <c r="W13" s="232"/>
      <c r="X13" s="232"/>
      <c r="Y13" s="232"/>
      <c r="Z13" s="232"/>
    </row>
    <row r="14" spans="1:26">
      <c r="A14" s="624">
        <v>10287</v>
      </c>
      <c r="B14" s="625">
        <v>96109</v>
      </c>
      <c r="C14" s="624">
        <v>2014</v>
      </c>
      <c r="D14" s="626" t="s">
        <v>621</v>
      </c>
      <c r="E14" s="626" t="s">
        <v>267</v>
      </c>
      <c r="F14" s="626" t="s">
        <v>620</v>
      </c>
      <c r="G14" s="345">
        <v>228177.21594149515</v>
      </c>
      <c r="H14" s="345">
        <f t="shared" si="0"/>
        <v>228177.21594149515</v>
      </c>
      <c r="I14" s="345" t="s">
        <v>216</v>
      </c>
      <c r="J14" s="232">
        <v>0</v>
      </c>
      <c r="K14" s="232">
        <v>0</v>
      </c>
      <c r="L14" s="345"/>
      <c r="M14" s="345"/>
      <c r="N14" s="345">
        <v>810629.58295004861</v>
      </c>
      <c r="O14" s="345"/>
      <c r="P14" s="232"/>
      <c r="Q14" s="232"/>
      <c r="R14" s="232"/>
      <c r="S14" s="232"/>
      <c r="T14" s="232"/>
      <c r="U14" s="232"/>
      <c r="V14" s="232"/>
      <c r="W14" s="232"/>
      <c r="X14" s="232"/>
      <c r="Y14" s="232"/>
      <c r="Z14" s="232"/>
    </row>
    <row r="15" spans="1:26">
      <c r="A15" s="624">
        <v>10469</v>
      </c>
      <c r="B15" s="625">
        <v>89366</v>
      </c>
      <c r="C15" s="624">
        <v>2014</v>
      </c>
      <c r="D15" s="626" t="s">
        <v>622</v>
      </c>
      <c r="E15" s="626" t="s">
        <v>267</v>
      </c>
      <c r="F15" s="626" t="s">
        <v>620</v>
      </c>
      <c r="G15" s="345">
        <v>13531.478002399999</v>
      </c>
      <c r="H15" s="345">
        <f t="shared" si="0"/>
        <v>13531.478002399999</v>
      </c>
      <c r="I15" s="345" t="s">
        <v>216</v>
      </c>
      <c r="J15" s="345">
        <v>0</v>
      </c>
      <c r="K15" s="345">
        <v>0</v>
      </c>
      <c r="L15" s="345"/>
      <c r="M15" s="345"/>
      <c r="N15" s="345">
        <v>913374.76516199997</v>
      </c>
      <c r="O15" s="345"/>
      <c r="P15" s="232" t="s">
        <v>268</v>
      </c>
      <c r="Q15" s="232" t="s">
        <v>254</v>
      </c>
      <c r="R15" s="232" t="s">
        <v>267</v>
      </c>
      <c r="S15" s="232" t="s">
        <v>612</v>
      </c>
      <c r="T15" s="232"/>
      <c r="U15" s="232"/>
      <c r="V15" s="232"/>
      <c r="W15" s="232"/>
      <c r="X15" s="232"/>
      <c r="Y15" s="232"/>
      <c r="Z15" s="232"/>
    </row>
    <row r="16" spans="1:26">
      <c r="A16" s="624">
        <v>10479</v>
      </c>
      <c r="B16" s="625">
        <v>94254</v>
      </c>
      <c r="C16" s="624">
        <v>2014</v>
      </c>
      <c r="D16" s="626" t="s">
        <v>621</v>
      </c>
      <c r="E16" s="626" t="s">
        <v>267</v>
      </c>
      <c r="F16" s="626" t="s">
        <v>624</v>
      </c>
      <c r="G16" s="345">
        <v>14271.601365600003</v>
      </c>
      <c r="H16" s="345">
        <f t="shared" si="0"/>
        <v>14271.601365600003</v>
      </c>
      <c r="I16" s="345" t="s">
        <v>216</v>
      </c>
      <c r="J16" s="232">
        <v>0</v>
      </c>
      <c r="K16" s="232">
        <v>0</v>
      </c>
      <c r="L16" s="345"/>
      <c r="M16" s="345"/>
      <c r="N16" s="345">
        <v>0</v>
      </c>
      <c r="O16" s="345"/>
      <c r="P16" s="232" t="s">
        <v>226</v>
      </c>
      <c r="Q16" s="253">
        <f>SUM(Q5:S6,Q8:S8)/(SUM(B5:B73)*3.6)</f>
        <v>0.68989434477803657</v>
      </c>
      <c r="R16" s="253">
        <f>SUM(Q5:R6,Q8:R8)/(SUM(B5:B73)*3.6)</f>
        <v>0.38040161665357553</v>
      </c>
      <c r="S16" s="253">
        <f>SUM(S5:S6,S8)/(SUM(B5:B73)*3.6)</f>
        <v>0.30949272812446116</v>
      </c>
      <c r="T16" s="232"/>
      <c r="U16" s="232"/>
      <c r="V16" s="232"/>
      <c r="W16" s="232"/>
      <c r="X16" s="232"/>
      <c r="Y16" s="232"/>
      <c r="Z16" s="232"/>
    </row>
    <row r="17" spans="1:26">
      <c r="A17" s="624">
        <v>10480</v>
      </c>
      <c r="B17" s="625">
        <v>56293</v>
      </c>
      <c r="C17" s="624">
        <v>2014</v>
      </c>
      <c r="D17" s="626" t="s">
        <v>621</v>
      </c>
      <c r="E17" s="626" t="s">
        <v>267</v>
      </c>
      <c r="F17" s="626" t="s">
        <v>624</v>
      </c>
      <c r="G17" s="345">
        <v>8523.6834052000013</v>
      </c>
      <c r="H17" s="345">
        <f t="shared" si="0"/>
        <v>8523.6834052000013</v>
      </c>
      <c r="I17" s="345" t="s">
        <v>216</v>
      </c>
      <c r="J17" s="232">
        <v>0</v>
      </c>
      <c r="K17" s="232">
        <v>0</v>
      </c>
      <c r="L17" s="345"/>
      <c r="M17" s="345"/>
      <c r="N17" s="345">
        <v>0</v>
      </c>
      <c r="O17" s="345"/>
      <c r="P17" s="232" t="s">
        <v>613</v>
      </c>
      <c r="Q17" s="318">
        <f>Q16-Q18</f>
        <v>2.9449012613064554</v>
      </c>
      <c r="R17" s="318">
        <f>R16-R18</f>
        <v>2.6354085331819945</v>
      </c>
      <c r="S17" s="318">
        <f>S16-S18</f>
        <v>0.30949272812446116</v>
      </c>
      <c r="T17" s="232"/>
      <c r="U17" s="232"/>
      <c r="V17" s="232"/>
      <c r="W17" s="232"/>
      <c r="X17" s="232"/>
      <c r="Y17" s="232"/>
      <c r="Z17" s="232"/>
    </row>
    <row r="18" spans="1:26">
      <c r="A18" s="624">
        <v>10481</v>
      </c>
      <c r="B18" s="625">
        <v>69001</v>
      </c>
      <c r="C18" s="624">
        <v>2014</v>
      </c>
      <c r="D18" s="626" t="s">
        <v>621</v>
      </c>
      <c r="E18" s="626" t="s">
        <v>267</v>
      </c>
      <c r="F18" s="626" t="s">
        <v>624</v>
      </c>
      <c r="G18" s="627">
        <v>10447.883016399999</v>
      </c>
      <c r="H18" s="345">
        <f t="shared" si="0"/>
        <v>10447.883016399999</v>
      </c>
      <c r="I18" s="345" t="s">
        <v>216</v>
      </c>
      <c r="J18" s="232">
        <v>0</v>
      </c>
      <c r="K18" s="232">
        <v>0</v>
      </c>
      <c r="L18" s="345"/>
      <c r="M18" s="345"/>
      <c r="N18" s="345">
        <v>0</v>
      </c>
      <c r="O18" s="345"/>
      <c r="P18" s="232" t="s">
        <v>614</v>
      </c>
      <c r="Q18" s="318">
        <f>(-1*Q7)/(SUM(B5:B73)*3.6)</f>
        <v>-2.2550069165284188</v>
      </c>
      <c r="R18" s="318">
        <f>Q18</f>
        <v>-2.2550069165284188</v>
      </c>
      <c r="S18" s="232">
        <v>0</v>
      </c>
      <c r="T18" s="232"/>
      <c r="U18" s="232"/>
      <c r="V18" s="232"/>
      <c r="W18" s="232"/>
      <c r="X18" s="232"/>
      <c r="Y18" s="232"/>
      <c r="Z18" s="232"/>
    </row>
    <row r="19" spans="1:26">
      <c r="A19" s="624">
        <v>10631</v>
      </c>
      <c r="B19" s="625">
        <v>359218</v>
      </c>
      <c r="C19" s="624">
        <v>2014</v>
      </c>
      <c r="D19" s="626" t="s">
        <v>623</v>
      </c>
      <c r="E19" s="626" t="s">
        <v>267</v>
      </c>
      <c r="F19" s="626" t="s">
        <v>620</v>
      </c>
      <c r="G19" s="345">
        <v>54391.496375200004</v>
      </c>
      <c r="H19" s="345">
        <f t="shared" si="0"/>
        <v>54391.496375200004</v>
      </c>
      <c r="I19" s="345" t="s">
        <v>219</v>
      </c>
      <c r="J19" s="232">
        <v>0</v>
      </c>
      <c r="K19" s="232">
        <v>0</v>
      </c>
      <c r="L19" s="345"/>
      <c r="M19" s="345"/>
      <c r="N19" s="345">
        <v>3671426.0053260005</v>
      </c>
      <c r="O19" s="345"/>
      <c r="P19" s="232"/>
      <c r="Q19" s="232"/>
      <c r="R19" s="232"/>
      <c r="S19" s="232"/>
      <c r="T19" s="232"/>
      <c r="U19" s="232"/>
      <c r="V19" s="232"/>
      <c r="W19" s="232"/>
      <c r="X19" s="232"/>
      <c r="Y19" s="232"/>
      <c r="Z19" s="232"/>
    </row>
    <row r="20" spans="1:26">
      <c r="A20" s="624">
        <v>10632</v>
      </c>
      <c r="B20" s="625">
        <v>317092</v>
      </c>
      <c r="C20" s="624">
        <v>2014</v>
      </c>
      <c r="D20" s="626" t="s">
        <v>623</v>
      </c>
      <c r="E20" s="626" t="s">
        <v>267</v>
      </c>
      <c r="F20" s="626" t="s">
        <v>620</v>
      </c>
      <c r="G20" s="345">
        <v>48012.929108799995</v>
      </c>
      <c r="H20" s="345">
        <f t="shared" si="0"/>
        <v>48012.929108799995</v>
      </c>
      <c r="I20" s="345" t="s">
        <v>219</v>
      </c>
      <c r="J20" s="232">
        <v>0</v>
      </c>
      <c r="K20" s="232">
        <v>0</v>
      </c>
      <c r="L20" s="345"/>
      <c r="M20" s="345"/>
      <c r="N20" s="345">
        <v>3240872.7148440001</v>
      </c>
      <c r="O20" s="345"/>
      <c r="P20" s="232"/>
      <c r="Q20" s="232"/>
      <c r="R20" s="232"/>
      <c r="S20" s="232"/>
      <c r="T20" s="232"/>
      <c r="U20" s="232"/>
      <c r="V20" s="232"/>
      <c r="W20" s="232"/>
      <c r="X20" s="232"/>
      <c r="Y20" s="232"/>
      <c r="Z20" s="232"/>
    </row>
    <row r="21" spans="1:26">
      <c r="A21" s="624">
        <v>10634</v>
      </c>
      <c r="B21" s="625">
        <v>344670</v>
      </c>
      <c r="C21" s="624">
        <v>2014</v>
      </c>
      <c r="D21" s="626" t="s">
        <v>623</v>
      </c>
      <c r="E21" s="626" t="s">
        <v>267</v>
      </c>
      <c r="F21" s="626" t="s">
        <v>620</v>
      </c>
      <c r="G21" s="345">
        <v>52188.690588000005</v>
      </c>
      <c r="H21" s="345">
        <f t="shared" si="0"/>
        <v>52188.690588000005</v>
      </c>
      <c r="I21" s="345" t="s">
        <v>219</v>
      </c>
      <c r="J21" s="232">
        <v>0</v>
      </c>
      <c r="K21" s="232">
        <v>0</v>
      </c>
      <c r="L21" s="345"/>
      <c r="M21" s="345"/>
      <c r="N21" s="345">
        <v>3522736.6146900002</v>
      </c>
      <c r="O21" s="345"/>
      <c r="P21" s="232"/>
      <c r="Q21" s="232"/>
      <c r="R21" s="232"/>
      <c r="S21" s="232"/>
      <c r="T21" s="232"/>
      <c r="U21" s="232"/>
      <c r="V21" s="232"/>
      <c r="W21" s="232"/>
      <c r="X21" s="232"/>
      <c r="Y21" s="232"/>
      <c r="Z21" s="232"/>
    </row>
    <row r="22" spans="1:26">
      <c r="A22" s="624">
        <v>10759</v>
      </c>
      <c r="B22" s="625">
        <v>324243</v>
      </c>
      <c r="C22" s="624">
        <v>2014</v>
      </c>
      <c r="D22" s="626" t="s">
        <v>623</v>
      </c>
      <c r="E22" s="626" t="s">
        <v>267</v>
      </c>
      <c r="F22" s="626" t="s">
        <v>620</v>
      </c>
      <c r="G22" s="345">
        <v>49095.707785200007</v>
      </c>
      <c r="H22" s="345">
        <f t="shared" si="0"/>
        <v>49095.707785200007</v>
      </c>
      <c r="I22" s="345" t="s">
        <v>219</v>
      </c>
      <c r="J22" s="232">
        <v>0</v>
      </c>
      <c r="K22" s="232">
        <v>0</v>
      </c>
      <c r="L22" s="345"/>
      <c r="M22" s="345"/>
      <c r="N22" s="345">
        <v>3313960.2755010002</v>
      </c>
      <c r="O22" s="345"/>
      <c r="P22" s="232"/>
      <c r="Q22" s="232"/>
      <c r="R22" s="232"/>
      <c r="S22" s="232"/>
      <c r="T22" s="232"/>
      <c r="U22" s="232"/>
      <c r="V22" s="232"/>
      <c r="W22" s="232"/>
      <c r="X22" s="232"/>
      <c r="Y22" s="232"/>
      <c r="Z22" s="232"/>
    </row>
    <row r="23" spans="1:26">
      <c r="A23" s="624">
        <v>10763</v>
      </c>
      <c r="B23" s="625">
        <v>46944</v>
      </c>
      <c r="C23" s="624">
        <v>2014</v>
      </c>
      <c r="D23" s="626" t="s">
        <v>623</v>
      </c>
      <c r="E23" s="626" t="s">
        <v>267</v>
      </c>
      <c r="F23" s="626" t="s">
        <v>620</v>
      </c>
      <c r="G23" s="345">
        <v>168480.97917197837</v>
      </c>
      <c r="H23" s="345">
        <f t="shared" si="0"/>
        <v>168480.97917197837</v>
      </c>
      <c r="I23" s="345" t="s">
        <v>219</v>
      </c>
      <c r="J23" s="232">
        <v>0</v>
      </c>
      <c r="K23" s="232">
        <v>0</v>
      </c>
      <c r="L23" s="345"/>
      <c r="M23" s="345"/>
      <c r="N23" s="345">
        <v>350121.53311394597</v>
      </c>
      <c r="O23" s="345"/>
      <c r="P23" s="232"/>
      <c r="Q23" s="232"/>
      <c r="R23" s="232"/>
      <c r="S23" s="232"/>
      <c r="T23" s="232"/>
      <c r="U23" s="232"/>
      <c r="V23" s="232"/>
      <c r="W23" s="232"/>
      <c r="X23" s="232"/>
      <c r="Y23" s="232"/>
      <c r="Z23" s="232"/>
    </row>
    <row r="24" spans="1:26">
      <c r="A24" s="624">
        <v>10763</v>
      </c>
      <c r="B24" s="625">
        <v>46944</v>
      </c>
      <c r="C24" s="624">
        <v>2014</v>
      </c>
      <c r="D24" s="626" t="s">
        <v>623</v>
      </c>
      <c r="E24" s="626" t="s">
        <v>267</v>
      </c>
      <c r="F24" s="626" t="s">
        <v>620</v>
      </c>
      <c r="G24" s="345">
        <v>168480.97917197837</v>
      </c>
      <c r="H24" s="345">
        <f t="shared" si="0"/>
        <v>168480.97917197837</v>
      </c>
      <c r="I24" s="345" t="s">
        <v>219</v>
      </c>
      <c r="J24" s="232">
        <v>0</v>
      </c>
      <c r="K24" s="232">
        <v>0</v>
      </c>
      <c r="L24" s="345"/>
      <c r="M24" s="345"/>
      <c r="N24" s="345">
        <v>350121.53311394597</v>
      </c>
      <c r="O24" s="345"/>
      <c r="P24" s="232"/>
      <c r="Q24" s="232"/>
      <c r="R24" s="232"/>
      <c r="S24" s="232"/>
      <c r="T24" s="232"/>
      <c r="U24" s="232"/>
      <c r="V24" s="232"/>
      <c r="W24" s="232"/>
      <c r="X24" s="232"/>
      <c r="Y24" s="232"/>
      <c r="Z24" s="232"/>
    </row>
    <row r="25" spans="1:26">
      <c r="A25" s="624">
        <v>10873</v>
      </c>
      <c r="B25" s="625">
        <v>473318</v>
      </c>
      <c r="C25" s="624">
        <v>2014</v>
      </c>
      <c r="D25" s="626" t="s">
        <v>623</v>
      </c>
      <c r="E25" s="626" t="s">
        <v>267</v>
      </c>
      <c r="F25" s="626" t="s">
        <v>620</v>
      </c>
      <c r="G25" s="345">
        <v>71668.107615199988</v>
      </c>
      <c r="H25" s="345">
        <f t="shared" si="0"/>
        <v>71668.107615199988</v>
      </c>
      <c r="I25" s="345" t="s">
        <v>216</v>
      </c>
      <c r="J25" s="345">
        <f>(403+433+433+402)*$I$2*$B$2</f>
        <v>2061144.46826361</v>
      </c>
      <c r="K25" s="345">
        <f>(403+433+433+402)*$I$2*$B$2</f>
        <v>2061144.46826361</v>
      </c>
      <c r="L25" s="345" t="s">
        <v>216</v>
      </c>
      <c r="M25" s="345" t="s">
        <v>267</v>
      </c>
      <c r="N25" s="345">
        <v>4837597.2640259992</v>
      </c>
      <c r="O25" s="345"/>
      <c r="P25" s="232"/>
      <c r="Q25" s="232"/>
      <c r="R25" s="232"/>
      <c r="S25" s="232"/>
      <c r="T25" s="232"/>
      <c r="U25" s="232"/>
      <c r="V25" s="232"/>
      <c r="W25" s="232"/>
      <c r="X25" s="232"/>
      <c r="Y25" s="232"/>
      <c r="Z25" s="232"/>
    </row>
    <row r="26" spans="1:26">
      <c r="A26" s="624">
        <v>10874</v>
      </c>
      <c r="B26" s="625">
        <v>449159</v>
      </c>
      <c r="C26" s="624">
        <v>2014</v>
      </c>
      <c r="D26" s="626" t="s">
        <v>623</v>
      </c>
      <c r="E26" s="626" t="s">
        <v>267</v>
      </c>
      <c r="F26" s="626" t="s">
        <v>620</v>
      </c>
      <c r="G26" s="345">
        <v>68010.03880759998</v>
      </c>
      <c r="H26" s="345">
        <f t="shared" si="0"/>
        <v>68010.03880759998</v>
      </c>
      <c r="I26" s="345" t="s">
        <v>216</v>
      </c>
      <c r="J26" s="232">
        <v>0</v>
      </c>
      <c r="K26" s="232">
        <v>0</v>
      </c>
      <c r="L26" s="345"/>
      <c r="M26" s="345"/>
      <c r="N26" s="345">
        <v>4590677.6195129994</v>
      </c>
      <c r="O26" s="345"/>
      <c r="P26" s="232"/>
      <c r="Q26" s="232"/>
      <c r="R26" s="232"/>
      <c r="S26" s="232"/>
      <c r="T26" s="232"/>
      <c r="U26" s="232"/>
      <c r="V26" s="232"/>
      <c r="W26" s="232"/>
      <c r="X26" s="232"/>
      <c r="Y26" s="232"/>
      <c r="Z26" s="232"/>
    </row>
    <row r="27" spans="1:26" ht="15">
      <c r="A27" s="624">
        <v>10875</v>
      </c>
      <c r="B27" s="625">
        <v>340994</v>
      </c>
      <c r="C27" s="624">
        <v>2014</v>
      </c>
      <c r="D27" s="626" t="s">
        <v>623</v>
      </c>
      <c r="E27" s="626" t="s">
        <v>267</v>
      </c>
      <c r="F27" s="626" t="s">
        <v>620</v>
      </c>
      <c r="G27" s="345">
        <v>51632.083901599988</v>
      </c>
      <c r="H27" s="345">
        <f t="shared" si="0"/>
        <v>51632.083901599988</v>
      </c>
      <c r="I27" s="345" t="s">
        <v>216</v>
      </c>
      <c r="J27" s="232">
        <v>0</v>
      </c>
      <c r="K27" s="232">
        <v>0</v>
      </c>
      <c r="L27" s="345"/>
      <c r="M27" s="345"/>
      <c r="N27" s="345">
        <v>3485165.6633580001</v>
      </c>
      <c r="O27" s="345"/>
      <c r="P27" s="6" t="s">
        <v>618</v>
      </c>
      <c r="Q27" s="6" t="s">
        <v>841</v>
      </c>
      <c r="R27"/>
      <c r="S27"/>
      <c r="T27"/>
      <c r="U27"/>
      <c r="V27"/>
      <c r="W27"/>
      <c r="X27"/>
      <c r="Y27"/>
      <c r="Z27"/>
    </row>
    <row r="28" spans="1:26" ht="15">
      <c r="A28" s="624">
        <v>10878</v>
      </c>
      <c r="B28" s="625">
        <v>70725</v>
      </c>
      <c r="C28" s="624">
        <v>2014</v>
      </c>
      <c r="D28" s="626" t="s">
        <v>623</v>
      </c>
      <c r="E28" s="626" t="s">
        <v>267</v>
      </c>
      <c r="F28" s="626" t="s">
        <v>620</v>
      </c>
      <c r="G28" s="345">
        <v>10708.92489</v>
      </c>
      <c r="H28" s="345">
        <f t="shared" si="0"/>
        <v>10708.92489</v>
      </c>
      <c r="I28" s="345" t="s">
        <v>219</v>
      </c>
      <c r="J28" s="232">
        <v>0</v>
      </c>
      <c r="K28" s="232">
        <v>0</v>
      </c>
      <c r="L28" s="345"/>
      <c r="M28" s="345"/>
      <c r="N28" s="345">
        <v>722852.43007499992</v>
      </c>
      <c r="O28" s="345"/>
      <c r="P28"/>
      <c r="Q28" t="s">
        <v>624</v>
      </c>
      <c r="R28" t="s">
        <v>895</v>
      </c>
      <c r="S28" t="s">
        <v>625</v>
      </c>
      <c r="T28"/>
      <c r="U28" t="s">
        <v>896</v>
      </c>
      <c r="V28" t="s">
        <v>620</v>
      </c>
      <c r="W28"/>
      <c r="X28"/>
      <c r="Y28" t="s">
        <v>897</v>
      </c>
      <c r="Z28" t="s">
        <v>626</v>
      </c>
    </row>
    <row r="29" spans="1:26" ht="15">
      <c r="A29" s="624">
        <v>10879</v>
      </c>
      <c r="B29" s="625">
        <v>110714</v>
      </c>
      <c r="C29" s="624">
        <v>2014</v>
      </c>
      <c r="D29" s="626" t="s">
        <v>623</v>
      </c>
      <c r="E29" s="626" t="s">
        <v>267</v>
      </c>
      <c r="F29" s="626" t="s">
        <v>620</v>
      </c>
      <c r="G29" s="345">
        <v>16763.915309600001</v>
      </c>
      <c r="H29" s="345">
        <f t="shared" si="0"/>
        <v>16763.915309600001</v>
      </c>
      <c r="I29" s="345" t="s">
        <v>219</v>
      </c>
      <c r="J29" s="232">
        <v>0</v>
      </c>
      <c r="K29" s="232">
        <v>0</v>
      </c>
      <c r="L29" s="345"/>
      <c r="M29" s="345"/>
      <c r="N29" s="345">
        <v>1131564.2833980003</v>
      </c>
      <c r="O29" s="345"/>
      <c r="P29" s="6" t="s">
        <v>616</v>
      </c>
      <c r="Q29" t="s">
        <v>621</v>
      </c>
      <c r="R29"/>
      <c r="S29" t="s">
        <v>621</v>
      </c>
      <c r="T29" t="s">
        <v>623</v>
      </c>
      <c r="U29"/>
      <c r="V29" t="s">
        <v>621</v>
      </c>
      <c r="W29" t="s">
        <v>622</v>
      </c>
      <c r="X29" t="s">
        <v>623</v>
      </c>
      <c r="Y29"/>
      <c r="Z29"/>
    </row>
    <row r="30" spans="1:26" ht="15">
      <c r="A30" s="624">
        <v>50066</v>
      </c>
      <c r="B30" s="625">
        <v>490053</v>
      </c>
      <c r="C30" s="624">
        <v>2014</v>
      </c>
      <c r="D30" s="626" t="s">
        <v>622</v>
      </c>
      <c r="E30" s="626" t="s">
        <v>267</v>
      </c>
      <c r="F30" s="626" t="s">
        <v>620</v>
      </c>
      <c r="G30" s="345">
        <v>74202.061069200005</v>
      </c>
      <c r="H30" s="345">
        <f t="shared" si="0"/>
        <v>74202.061069200005</v>
      </c>
      <c r="I30" s="345" t="s">
        <v>216</v>
      </c>
      <c r="J30" s="345">
        <v>0</v>
      </c>
      <c r="K30" s="345">
        <v>0</v>
      </c>
      <c r="L30" s="345"/>
      <c r="M30" s="345"/>
      <c r="N30" s="345">
        <v>5008639.1221709996</v>
      </c>
      <c r="O30" s="345"/>
      <c r="P30" s="3" t="s">
        <v>216</v>
      </c>
      <c r="Q30" s="5">
        <v>327351.50623559998</v>
      </c>
      <c r="R30" s="5">
        <v>327351.50623559998</v>
      </c>
      <c r="S30" s="5">
        <v>1258539.0481099999</v>
      </c>
      <c r="T30" s="5">
        <v>10342.0429528</v>
      </c>
      <c r="U30" s="5">
        <v>1268881.0910627998</v>
      </c>
      <c r="V30" s="5">
        <v>9106740.1698799599</v>
      </c>
      <c r="W30" s="5">
        <v>326194.2306904</v>
      </c>
      <c r="X30" s="5">
        <v>981799.68490560015</v>
      </c>
      <c r="Y30" s="5">
        <v>10414734.085475959</v>
      </c>
      <c r="Z30" s="5">
        <v>12010966.682774359</v>
      </c>
    </row>
    <row r="31" spans="1:26" ht="15">
      <c r="A31" s="624">
        <v>50210</v>
      </c>
      <c r="B31" s="625">
        <v>271038</v>
      </c>
      <c r="C31" s="624">
        <v>2014</v>
      </c>
      <c r="D31" s="626" t="s">
        <v>623</v>
      </c>
      <c r="E31" s="626" t="s">
        <v>267</v>
      </c>
      <c r="F31" s="626" t="s">
        <v>620</v>
      </c>
      <c r="G31" s="345">
        <v>41039.598223200002</v>
      </c>
      <c r="H31" s="345">
        <f t="shared" si="0"/>
        <v>41039.598223200002</v>
      </c>
      <c r="I31" s="345" t="s">
        <v>219</v>
      </c>
      <c r="J31" s="232">
        <v>0</v>
      </c>
      <c r="K31" s="232">
        <v>0</v>
      </c>
      <c r="L31" s="345"/>
      <c r="M31" s="345"/>
      <c r="N31" s="345">
        <v>2770172.8800660004</v>
      </c>
      <c r="O31" s="345"/>
      <c r="P31" s="3" t="s">
        <v>219</v>
      </c>
      <c r="Q31" s="5"/>
      <c r="R31" s="5"/>
      <c r="S31" s="5"/>
      <c r="T31" s="5"/>
      <c r="U31" s="5"/>
      <c r="V31" s="5">
        <v>5412657.2705976423</v>
      </c>
      <c r="W31" s="5"/>
      <c r="X31" s="5">
        <v>813559.00765275664</v>
      </c>
      <c r="Y31" s="5">
        <v>6226216.278250399</v>
      </c>
      <c r="Z31" s="5">
        <v>6226216.278250399</v>
      </c>
    </row>
    <row r="32" spans="1:26" ht="15">
      <c r="A32" s="624">
        <v>50654</v>
      </c>
      <c r="B32" s="625">
        <v>44224</v>
      </c>
      <c r="C32" s="624">
        <v>2014</v>
      </c>
      <c r="D32" s="626" t="s">
        <v>621</v>
      </c>
      <c r="E32" s="626" t="s">
        <v>267</v>
      </c>
      <c r="F32" s="626" t="s">
        <v>624</v>
      </c>
      <c r="G32" s="345">
        <v>6696.2388735999994</v>
      </c>
      <c r="H32" s="345">
        <f t="shared" si="0"/>
        <v>6696.2388735999994</v>
      </c>
      <c r="I32" s="345" t="s">
        <v>216</v>
      </c>
      <c r="J32" s="232">
        <v>0</v>
      </c>
      <c r="K32" s="232">
        <v>0</v>
      </c>
      <c r="L32" s="345"/>
      <c r="M32" s="345"/>
      <c r="N32" s="345">
        <v>328315.59253397014</v>
      </c>
      <c r="O32" s="345"/>
      <c r="P32" s="3" t="s">
        <v>626</v>
      </c>
      <c r="Q32" s="5">
        <v>327351.50623559998</v>
      </c>
      <c r="R32" s="5">
        <v>327351.50623559998</v>
      </c>
      <c r="S32" s="5">
        <v>1258539.0481099999</v>
      </c>
      <c r="T32" s="5">
        <v>10342.0429528</v>
      </c>
      <c r="U32" s="5">
        <v>1268881.0910627998</v>
      </c>
      <c r="V32" s="5">
        <v>14519397.440477602</v>
      </c>
      <c r="W32" s="5">
        <v>326194.2306904</v>
      </c>
      <c r="X32" s="5">
        <v>1795358.6925583568</v>
      </c>
      <c r="Y32" s="5">
        <v>16640950.363726359</v>
      </c>
      <c r="Z32" s="5">
        <v>18237182.961024757</v>
      </c>
    </row>
    <row r="33" spans="1:26" ht="15">
      <c r="A33" s="624">
        <v>50654</v>
      </c>
      <c r="B33" s="625">
        <v>36183</v>
      </c>
      <c r="C33" s="624">
        <v>2014</v>
      </c>
      <c r="D33" s="626" t="s">
        <v>621</v>
      </c>
      <c r="E33" s="626" t="s">
        <v>267</v>
      </c>
      <c r="F33" s="626" t="s">
        <v>624</v>
      </c>
      <c r="G33" s="345">
        <v>5478.6996011999991</v>
      </c>
      <c r="H33" s="345">
        <f t="shared" si="0"/>
        <v>5478.6996011999991</v>
      </c>
      <c r="I33" s="345" t="s">
        <v>216</v>
      </c>
      <c r="J33" s="232">
        <v>0</v>
      </c>
      <c r="K33" s="232">
        <v>0</v>
      </c>
      <c r="L33" s="345"/>
      <c r="M33" s="345"/>
      <c r="N33" s="345">
        <v>268619.8237304776</v>
      </c>
      <c r="O33" s="345"/>
      <c r="P33" s="234"/>
      <c r="Q33" s="234"/>
      <c r="R33" s="234"/>
      <c r="S33" s="234"/>
      <c r="T33" s="234"/>
      <c r="U33" s="234"/>
      <c r="V33" s="234"/>
      <c r="W33" s="234"/>
      <c r="X33" s="234"/>
      <c r="Y33" s="234"/>
      <c r="Z33" s="234"/>
    </row>
    <row r="34" spans="1:26" ht="15">
      <c r="A34" s="624">
        <v>50762</v>
      </c>
      <c r="B34" s="625">
        <v>33960</v>
      </c>
      <c r="C34" s="624">
        <v>2014</v>
      </c>
      <c r="D34" s="626" t="s">
        <v>623</v>
      </c>
      <c r="E34" s="626" t="s">
        <v>267</v>
      </c>
      <c r="F34" s="626" t="s">
        <v>620</v>
      </c>
      <c r="G34" s="345">
        <v>5142.1009439999989</v>
      </c>
      <c r="H34" s="345">
        <f t="shared" si="0"/>
        <v>5142.1009439999989</v>
      </c>
      <c r="I34" s="345" t="s">
        <v>219</v>
      </c>
      <c r="J34" s="232">
        <v>0</v>
      </c>
      <c r="K34" s="232">
        <v>0</v>
      </c>
      <c r="L34" s="345"/>
      <c r="M34" s="345"/>
      <c r="N34" s="345">
        <v>347091.81372000009</v>
      </c>
      <c r="O34" s="345"/>
      <c r="P34" s="234"/>
      <c r="Q34" s="234"/>
      <c r="R34" s="234"/>
      <c r="S34" s="232"/>
      <c r="T34" s="232"/>
      <c r="U34" s="232"/>
      <c r="V34" s="232"/>
      <c r="W34" s="232"/>
      <c r="X34" s="232"/>
      <c r="Y34" s="232"/>
      <c r="Z34" s="232"/>
    </row>
    <row r="35" spans="1:26" ht="15">
      <c r="A35" s="624">
        <v>50765</v>
      </c>
      <c r="B35" s="625">
        <v>137837</v>
      </c>
      <c r="C35" s="624">
        <v>2014</v>
      </c>
      <c r="D35" s="626" t="s">
        <v>621</v>
      </c>
      <c r="E35" s="626" t="s">
        <v>267</v>
      </c>
      <c r="F35" s="626" t="s">
        <v>624</v>
      </c>
      <c r="G35" s="345">
        <v>20870.782326800003</v>
      </c>
      <c r="H35" s="345">
        <f t="shared" si="0"/>
        <v>20870.782326800003</v>
      </c>
      <c r="I35" s="345" t="s">
        <v>216</v>
      </c>
      <c r="J35" s="232">
        <v>0</v>
      </c>
      <c r="K35" s="232">
        <v>0</v>
      </c>
      <c r="L35" s="345"/>
      <c r="M35" s="345"/>
      <c r="N35" s="345">
        <v>0</v>
      </c>
      <c r="O35" s="345"/>
      <c r="P35" s="455" t="s">
        <v>618</v>
      </c>
      <c r="Q35" s="455" t="s">
        <v>841</v>
      </c>
      <c r="R35" s="455"/>
      <c r="S35" s="455"/>
      <c r="T35" s="455"/>
      <c r="U35" s="455"/>
      <c r="V35" s="455"/>
      <c r="W35" s="455"/>
      <c r="X35" s="455"/>
      <c r="Y35" s="455"/>
      <c r="Z35" s="455"/>
    </row>
    <row r="36" spans="1:26" ht="15">
      <c r="A36" s="624">
        <v>50766</v>
      </c>
      <c r="B36" s="625">
        <v>79904</v>
      </c>
      <c r="C36" s="624">
        <v>2014</v>
      </c>
      <c r="D36" s="626" t="s">
        <v>623</v>
      </c>
      <c r="E36" s="626" t="s">
        <v>267</v>
      </c>
      <c r="F36" s="626" t="s">
        <v>620</v>
      </c>
      <c r="G36" s="345">
        <v>12098.7760256</v>
      </c>
      <c r="H36" s="345">
        <f t="shared" si="0"/>
        <v>12098.7760256</v>
      </c>
      <c r="I36" s="345" t="s">
        <v>219</v>
      </c>
      <c r="J36" s="232">
        <v>0</v>
      </c>
      <c r="K36" s="232">
        <v>0</v>
      </c>
      <c r="L36" s="345"/>
      <c r="M36" s="345"/>
      <c r="N36" s="345">
        <v>816667.38172800012</v>
      </c>
      <c r="O36" s="345"/>
      <c r="P36" s="455"/>
      <c r="Q36" s="455" t="s">
        <v>624</v>
      </c>
      <c r="R36" s="456" t="s">
        <v>895</v>
      </c>
      <c r="S36" s="455" t="s">
        <v>625</v>
      </c>
      <c r="T36" s="455"/>
      <c r="U36" s="456" t="s">
        <v>896</v>
      </c>
      <c r="V36" s="455" t="s">
        <v>620</v>
      </c>
      <c r="W36" s="455"/>
      <c r="X36" s="455"/>
      <c r="Y36" s="456" t="s">
        <v>897</v>
      </c>
      <c r="Z36" s="455" t="s">
        <v>626</v>
      </c>
    </row>
    <row r="37" spans="1:26" ht="15">
      <c r="A37" s="624">
        <v>50964</v>
      </c>
      <c r="B37" s="625">
        <v>1525</v>
      </c>
      <c r="C37" s="624">
        <v>2014</v>
      </c>
      <c r="D37" s="626" t="s">
        <v>623</v>
      </c>
      <c r="E37" s="626" t="s">
        <v>267</v>
      </c>
      <c r="F37" s="626" t="s">
        <v>620</v>
      </c>
      <c r="G37" s="345">
        <v>230.91001</v>
      </c>
      <c r="H37" s="345">
        <f t="shared" si="0"/>
        <v>230.91001</v>
      </c>
      <c r="I37" s="345" t="s">
        <v>216</v>
      </c>
      <c r="J37" s="232">
        <v>0</v>
      </c>
      <c r="K37" s="232">
        <v>0</v>
      </c>
      <c r="L37" s="345"/>
      <c r="M37" s="345"/>
      <c r="N37" s="345">
        <v>15586.425675000002</v>
      </c>
      <c r="O37" s="345"/>
      <c r="P37" s="457" t="s">
        <v>616</v>
      </c>
      <c r="Q37" s="457" t="s">
        <v>621</v>
      </c>
      <c r="R37" s="458"/>
      <c r="S37" s="457" t="s">
        <v>621</v>
      </c>
      <c r="T37" s="457" t="s">
        <v>623</v>
      </c>
      <c r="U37" s="458"/>
      <c r="V37" s="457" t="s">
        <v>621</v>
      </c>
      <c r="W37" s="457" t="s">
        <v>622</v>
      </c>
      <c r="X37" s="457" t="s">
        <v>623</v>
      </c>
      <c r="Y37" s="458"/>
      <c r="Z37" s="457"/>
    </row>
    <row r="38" spans="1:26" ht="15">
      <c r="A38" s="624">
        <v>52015</v>
      </c>
      <c r="B38" s="625">
        <v>487764</v>
      </c>
      <c r="C38" s="624">
        <v>2014</v>
      </c>
      <c r="D38" s="626" t="s">
        <v>623</v>
      </c>
      <c r="E38" s="626" t="s">
        <v>267</v>
      </c>
      <c r="F38" s="626" t="s">
        <v>620</v>
      </c>
      <c r="G38" s="345">
        <v>73855.4689296</v>
      </c>
      <c r="H38" s="345">
        <f t="shared" si="0"/>
        <v>73855.4689296</v>
      </c>
      <c r="I38" s="345" t="s">
        <v>216</v>
      </c>
      <c r="J38" s="232">
        <f>30*1440*60*0.001*365</f>
        <v>946080</v>
      </c>
      <c r="K38" s="232">
        <f>30*1440*60*0.001*365</f>
        <v>946080</v>
      </c>
      <c r="L38" s="345" t="s">
        <v>216</v>
      </c>
      <c r="M38" s="345" t="s">
        <v>267</v>
      </c>
      <c r="N38" s="345">
        <v>4985244.1527479999</v>
      </c>
      <c r="O38" s="345"/>
      <c r="P38" s="459" t="s">
        <v>654</v>
      </c>
      <c r="Q38" s="460"/>
      <c r="R38" s="461"/>
      <c r="S38" s="460"/>
      <c r="T38" s="460"/>
      <c r="U38" s="461"/>
      <c r="V38" s="460"/>
      <c r="W38" s="460">
        <v>137740.1679</v>
      </c>
      <c r="X38" s="460">
        <v>1607.1336699999999</v>
      </c>
      <c r="Y38" s="461">
        <v>139347.30160000001</v>
      </c>
      <c r="Z38" s="460">
        <v>139347.30160000001</v>
      </c>
    </row>
    <row r="39" spans="1:26" ht="15">
      <c r="A39" s="624">
        <v>52028</v>
      </c>
      <c r="B39" s="625">
        <v>58502</v>
      </c>
      <c r="C39" s="624">
        <v>2014</v>
      </c>
      <c r="D39" s="626" t="s">
        <v>621</v>
      </c>
      <c r="E39" s="626" t="s">
        <v>267</v>
      </c>
      <c r="F39" s="626" t="s">
        <v>624</v>
      </c>
      <c r="G39" s="345">
        <v>8858.1622328000012</v>
      </c>
      <c r="H39" s="345">
        <f t="shared" si="0"/>
        <v>8858.1622328000012</v>
      </c>
      <c r="I39" s="345" t="s">
        <v>216</v>
      </c>
      <c r="J39" s="232">
        <v>0</v>
      </c>
      <c r="K39" s="232">
        <v>0</v>
      </c>
      <c r="L39" s="345"/>
      <c r="M39" s="345"/>
      <c r="N39" s="345">
        <v>410341.33872529416</v>
      </c>
      <c r="O39" s="345"/>
      <c r="P39" s="459" t="s">
        <v>267</v>
      </c>
      <c r="Q39" s="460">
        <v>311687.32819999999</v>
      </c>
      <c r="R39" s="461">
        <v>311687.32819999999</v>
      </c>
      <c r="S39" s="460">
        <v>1258539.048</v>
      </c>
      <c r="T39" s="460">
        <v>10342.042949999999</v>
      </c>
      <c r="U39" s="461">
        <v>1268881.091</v>
      </c>
      <c r="V39" s="460">
        <v>14519397.439999999</v>
      </c>
      <c r="W39" s="460">
        <v>188454.06280000001</v>
      </c>
      <c r="X39" s="460">
        <v>1793751.5589999999</v>
      </c>
      <c r="Y39" s="461">
        <v>16501603.060000001</v>
      </c>
      <c r="Z39" s="460">
        <v>18082171.48</v>
      </c>
    </row>
    <row r="40" spans="1:26" ht="15">
      <c r="A40" s="624">
        <v>52028</v>
      </c>
      <c r="B40" s="628">
        <v>195339</v>
      </c>
      <c r="C40" s="624">
        <v>2014</v>
      </c>
      <c r="D40" s="626" t="s">
        <v>621</v>
      </c>
      <c r="E40" s="626" t="s">
        <v>267</v>
      </c>
      <c r="F40" s="626" t="s">
        <v>624</v>
      </c>
      <c r="G40" s="345">
        <v>29577.528159600002</v>
      </c>
      <c r="H40" s="345">
        <f t="shared" si="0"/>
        <v>29577.528159600002</v>
      </c>
      <c r="I40" s="345" t="s">
        <v>216</v>
      </c>
      <c r="J40" s="232">
        <v>0</v>
      </c>
      <c r="K40" s="232">
        <v>0</v>
      </c>
      <c r="L40" s="345"/>
      <c r="M40" s="345"/>
      <c r="N40" s="345">
        <v>1370135.4956285297</v>
      </c>
      <c r="O40" s="345"/>
      <c r="P40" s="459" t="s">
        <v>655</v>
      </c>
      <c r="Q40" s="460">
        <v>15664.178</v>
      </c>
      <c r="R40" s="461">
        <v>15664.178</v>
      </c>
      <c r="S40" s="460"/>
      <c r="T40" s="460"/>
      <c r="U40" s="461"/>
      <c r="V40" s="460"/>
      <c r="W40" s="460"/>
      <c r="X40" s="460"/>
      <c r="Y40" s="461"/>
      <c r="Z40" s="460">
        <v>15664.178</v>
      </c>
    </row>
    <row r="41" spans="1:26" ht="15">
      <c r="A41" s="624">
        <v>52138</v>
      </c>
      <c r="B41" s="625">
        <v>0</v>
      </c>
      <c r="C41" s="624">
        <v>2014</v>
      </c>
      <c r="D41" s="626" t="s">
        <v>621</v>
      </c>
      <c r="E41" s="626" t="s">
        <v>267</v>
      </c>
      <c r="F41" s="626" t="s">
        <v>620</v>
      </c>
      <c r="G41" s="345">
        <v>0</v>
      </c>
      <c r="H41" s="345">
        <f t="shared" si="0"/>
        <v>0</v>
      </c>
      <c r="I41" s="345" t="s">
        <v>216</v>
      </c>
      <c r="J41" s="232">
        <v>0</v>
      </c>
      <c r="K41" s="232">
        <v>0</v>
      </c>
      <c r="L41" s="345"/>
      <c r="M41" s="345"/>
      <c r="N41" s="345">
        <v>0</v>
      </c>
      <c r="O41" s="345"/>
      <c r="P41" s="462" t="s">
        <v>626</v>
      </c>
      <c r="Q41" s="463">
        <v>327351.5062</v>
      </c>
      <c r="R41" s="463">
        <v>327351.5062</v>
      </c>
      <c r="S41" s="463">
        <v>1258539.048</v>
      </c>
      <c r="T41" s="463">
        <v>10342.042949999999</v>
      </c>
      <c r="U41" s="463">
        <v>1268881.091</v>
      </c>
      <c r="V41" s="463">
        <v>14519397.439999999</v>
      </c>
      <c r="W41" s="463">
        <v>326194.23070000001</v>
      </c>
      <c r="X41" s="463">
        <v>1795358.693</v>
      </c>
      <c r="Y41" s="463">
        <v>16640950.359999999</v>
      </c>
      <c r="Z41" s="463">
        <v>18237182.960000001</v>
      </c>
    </row>
    <row r="42" spans="1:26" ht="15">
      <c r="A42" s="624">
        <v>52158</v>
      </c>
      <c r="B42" s="625">
        <v>139692</v>
      </c>
      <c r="C42" s="624">
        <v>2014</v>
      </c>
      <c r="D42" s="626" t="s">
        <v>622</v>
      </c>
      <c r="E42" s="626" t="s">
        <v>267</v>
      </c>
      <c r="F42" s="626" t="s">
        <v>620</v>
      </c>
      <c r="G42" s="345">
        <v>21151.659748800001</v>
      </c>
      <c r="H42" s="345">
        <f t="shared" si="0"/>
        <v>21151.659748800001</v>
      </c>
      <c r="I42" s="345" t="s">
        <v>216</v>
      </c>
      <c r="J42" s="345">
        <v>0</v>
      </c>
      <c r="K42" s="345">
        <v>0</v>
      </c>
      <c r="L42" s="345"/>
      <c r="M42" s="345"/>
      <c r="N42" s="345">
        <v>1427737.0330439999</v>
      </c>
      <c r="O42" s="345"/>
      <c r="P42" s="234"/>
      <c r="Q42" s="234"/>
      <c r="R42" s="234"/>
      <c r="S42" s="232"/>
      <c r="T42" s="232"/>
      <c r="U42" s="232"/>
      <c r="V42" s="232"/>
      <c r="W42" s="232"/>
      <c r="X42" s="232"/>
      <c r="Y42" s="232"/>
      <c r="Z42" s="232"/>
    </row>
    <row r="43" spans="1:26" ht="15">
      <c r="A43" s="624">
        <v>52174</v>
      </c>
      <c r="B43" s="625">
        <v>68302</v>
      </c>
      <c r="C43" s="624">
        <v>2014</v>
      </c>
      <c r="D43" s="626" t="s">
        <v>623</v>
      </c>
      <c r="E43" s="626" t="s">
        <v>267</v>
      </c>
      <c r="F43" s="626" t="s">
        <v>625</v>
      </c>
      <c r="G43" s="345">
        <v>10342.0429528</v>
      </c>
      <c r="H43" s="345">
        <f t="shared" si="0"/>
        <v>10342.0429528</v>
      </c>
      <c r="I43" s="345" t="s">
        <v>216</v>
      </c>
      <c r="J43" s="232">
        <v>0</v>
      </c>
      <c r="K43" s="232">
        <v>0</v>
      </c>
      <c r="L43" s="345"/>
      <c r="M43" s="345"/>
      <c r="N43" s="345">
        <v>258551.07381999999</v>
      </c>
      <c r="O43" s="345"/>
      <c r="P43" s="450" t="s">
        <v>618</v>
      </c>
      <c r="Q43" s="450" t="s">
        <v>841</v>
      </c>
      <c r="R43" s="450"/>
      <c r="S43" s="451"/>
      <c r="T43" s="451"/>
      <c r="U43" s="451"/>
      <c r="V43" s="451"/>
      <c r="W43" s="451"/>
      <c r="X43" s="451"/>
      <c r="Y43" s="451"/>
      <c r="Z43" s="451"/>
    </row>
    <row r="44" spans="1:26" ht="15">
      <c r="A44" s="624">
        <v>54038</v>
      </c>
      <c r="B44" s="625">
        <v>71914</v>
      </c>
      <c r="C44" s="624">
        <v>2014</v>
      </c>
      <c r="D44" s="626" t="s">
        <v>623</v>
      </c>
      <c r="E44" s="626" t="s">
        <v>267</v>
      </c>
      <c r="F44" s="626" t="s">
        <v>620</v>
      </c>
      <c r="G44" s="345">
        <v>10888.9589896</v>
      </c>
      <c r="H44" s="345">
        <f t="shared" si="0"/>
        <v>10888.9589896</v>
      </c>
      <c r="I44" s="345" t="s">
        <v>219</v>
      </c>
      <c r="J44" s="232">
        <v>0</v>
      </c>
      <c r="K44" s="232">
        <v>0</v>
      </c>
      <c r="L44" s="345"/>
      <c r="M44" s="345"/>
      <c r="N44" s="345">
        <v>735004.73179800005</v>
      </c>
      <c r="O44" s="345"/>
      <c r="P44" s="451"/>
      <c r="Q44" s="451" t="s">
        <v>624</v>
      </c>
      <c r="R44" s="452" t="s">
        <v>895</v>
      </c>
      <c r="S44" s="451" t="s">
        <v>625</v>
      </c>
      <c r="T44" s="451"/>
      <c r="U44" s="452" t="s">
        <v>896</v>
      </c>
      <c r="V44" s="451" t="s">
        <v>620</v>
      </c>
      <c r="W44" s="451"/>
      <c r="X44" s="451"/>
      <c r="Y44" s="452" t="s">
        <v>897</v>
      </c>
      <c r="Z44" s="451" t="s">
        <v>626</v>
      </c>
    </row>
    <row r="45" spans="1:26" ht="15">
      <c r="A45" s="624">
        <v>54111</v>
      </c>
      <c r="B45" s="625">
        <v>226191</v>
      </c>
      <c r="C45" s="624">
        <v>2014</v>
      </c>
      <c r="D45" s="626" t="s">
        <v>621</v>
      </c>
      <c r="E45" s="626" t="s">
        <v>267</v>
      </c>
      <c r="F45" s="626" t="s">
        <v>620</v>
      </c>
      <c r="G45" s="345">
        <v>2911167.2892540004</v>
      </c>
      <c r="H45" s="345">
        <f t="shared" si="0"/>
        <v>2911167.2892540004</v>
      </c>
      <c r="I45" s="345" t="s">
        <v>219</v>
      </c>
      <c r="J45" s="232">
        <v>0</v>
      </c>
      <c r="K45" s="232">
        <v>0</v>
      </c>
      <c r="L45" s="345"/>
      <c r="M45" s="345"/>
      <c r="N45" s="345">
        <v>0</v>
      </c>
      <c r="O45" s="345"/>
      <c r="P45" s="447" t="s">
        <v>616</v>
      </c>
      <c r="Q45" s="446" t="s">
        <v>621</v>
      </c>
      <c r="R45" s="453"/>
      <c r="S45" s="446" t="s">
        <v>621</v>
      </c>
      <c r="T45" s="446" t="s">
        <v>623</v>
      </c>
      <c r="U45" s="453"/>
      <c r="V45" s="446" t="s">
        <v>621</v>
      </c>
      <c r="W45" s="446" t="s">
        <v>622</v>
      </c>
      <c r="X45" s="446" t="s">
        <v>623</v>
      </c>
      <c r="Y45" s="453"/>
      <c r="Z45" s="446"/>
    </row>
    <row r="46" spans="1:26" ht="15">
      <c r="A46" s="624">
        <v>54665</v>
      </c>
      <c r="B46" s="625">
        <v>74230</v>
      </c>
      <c r="C46" s="624">
        <v>2014</v>
      </c>
      <c r="D46" s="626" t="s">
        <v>621</v>
      </c>
      <c r="E46" s="626" t="s">
        <v>267</v>
      </c>
      <c r="F46" s="626" t="s">
        <v>620</v>
      </c>
      <c r="G46" s="345">
        <v>955369.34661999997</v>
      </c>
      <c r="H46" s="345">
        <f t="shared" si="0"/>
        <v>955369.34661999997</v>
      </c>
      <c r="I46" s="345" t="s">
        <v>216</v>
      </c>
      <c r="J46" s="232">
        <v>0</v>
      </c>
      <c r="K46" s="232">
        <v>0</v>
      </c>
      <c r="L46" s="345"/>
      <c r="M46" s="345"/>
      <c r="N46" s="345">
        <v>0</v>
      </c>
      <c r="O46" s="345"/>
      <c r="P46" s="3" t="s">
        <v>216</v>
      </c>
      <c r="Q46" s="5">
        <v>327351.50623559998</v>
      </c>
      <c r="R46" s="454">
        <v>327351.50623559998</v>
      </c>
      <c r="S46" s="5">
        <v>1258539.0481099999</v>
      </c>
      <c r="T46" s="5">
        <v>10342.0429528</v>
      </c>
      <c r="U46" s="454">
        <v>1268881.0910627998</v>
      </c>
      <c r="V46" s="5">
        <v>9106740.1698799599</v>
      </c>
      <c r="W46" s="5">
        <v>326194.2306904</v>
      </c>
      <c r="X46" s="5">
        <v>981799.68490560015</v>
      </c>
      <c r="Y46" s="454">
        <v>10414734.085475959</v>
      </c>
      <c r="Z46" s="5">
        <v>12010966.682774359</v>
      </c>
    </row>
    <row r="47" spans="1:26" ht="15">
      <c r="A47" s="624">
        <v>54666</v>
      </c>
      <c r="B47" s="625">
        <v>76104</v>
      </c>
      <c r="C47" s="624">
        <v>2014</v>
      </c>
      <c r="D47" s="626" t="s">
        <v>621</v>
      </c>
      <c r="E47" s="626" t="s">
        <v>267</v>
      </c>
      <c r="F47" s="626" t="s">
        <v>620</v>
      </c>
      <c r="G47" s="345">
        <v>979488.46497600002</v>
      </c>
      <c r="H47" s="345">
        <f t="shared" si="0"/>
        <v>979488.46497600002</v>
      </c>
      <c r="I47" s="345" t="s">
        <v>216</v>
      </c>
      <c r="J47" s="232">
        <v>0</v>
      </c>
      <c r="K47" s="232">
        <v>0</v>
      </c>
      <c r="L47" s="345"/>
      <c r="M47" s="345"/>
      <c r="N47" s="345">
        <v>0</v>
      </c>
      <c r="O47" s="345"/>
      <c r="P47" s="3" t="s">
        <v>219</v>
      </c>
      <c r="Q47" s="5"/>
      <c r="R47" s="454"/>
      <c r="S47" s="5"/>
      <c r="T47" s="5"/>
      <c r="U47" s="454"/>
      <c r="V47" s="5">
        <v>5412657.2705976423</v>
      </c>
      <c r="W47" s="5"/>
      <c r="X47" s="5">
        <v>813559.00765275664</v>
      </c>
      <c r="Y47" s="454">
        <v>6226216.278250399</v>
      </c>
      <c r="Z47" s="5">
        <v>6226216.278250399</v>
      </c>
    </row>
    <row r="48" spans="1:26" ht="15">
      <c r="A48" s="624">
        <v>54689</v>
      </c>
      <c r="B48" s="625">
        <v>16626</v>
      </c>
      <c r="C48" s="624">
        <v>2014</v>
      </c>
      <c r="D48" s="626" t="s">
        <v>621</v>
      </c>
      <c r="E48" s="626" t="s">
        <v>267</v>
      </c>
      <c r="F48" s="626" t="s">
        <v>620</v>
      </c>
      <c r="G48" s="345">
        <v>38043.690291436804</v>
      </c>
      <c r="H48" s="345">
        <f t="shared" si="0"/>
        <v>38043.690291436804</v>
      </c>
      <c r="I48" s="345" t="s">
        <v>219</v>
      </c>
      <c r="J48" s="232">
        <v>0</v>
      </c>
      <c r="K48" s="232">
        <v>0</v>
      </c>
      <c r="L48" s="345"/>
      <c r="M48" s="345"/>
      <c r="N48" s="345">
        <v>141379.93956902399</v>
      </c>
      <c r="O48" s="345"/>
      <c r="P48" s="448" t="s">
        <v>626</v>
      </c>
      <c r="Q48" s="449">
        <v>327351.50623559998</v>
      </c>
      <c r="R48" s="449">
        <v>327351.50623559998</v>
      </c>
      <c r="S48" s="449">
        <v>1258539.0481099999</v>
      </c>
      <c r="T48" s="449">
        <v>10342.0429528</v>
      </c>
      <c r="U48" s="449">
        <v>1268881.0910627998</v>
      </c>
      <c r="V48" s="449">
        <v>14519397.440477602</v>
      </c>
      <c r="W48" s="449">
        <v>326194.2306904</v>
      </c>
      <c r="X48" s="449">
        <v>1795358.6925583568</v>
      </c>
      <c r="Y48" s="449">
        <v>16640950.363726359</v>
      </c>
      <c r="Z48" s="449">
        <v>18237182.961024757</v>
      </c>
    </row>
    <row r="49" spans="1:26">
      <c r="A49" s="624">
        <v>54689</v>
      </c>
      <c r="B49" s="625">
        <v>248386</v>
      </c>
      <c r="C49" s="624">
        <v>2014</v>
      </c>
      <c r="D49" s="626" t="s">
        <v>621</v>
      </c>
      <c r="E49" s="626" t="s">
        <v>267</v>
      </c>
      <c r="F49" s="626" t="s">
        <v>620</v>
      </c>
      <c r="G49" s="345">
        <v>568357.99691620481</v>
      </c>
      <c r="H49" s="345">
        <f t="shared" si="0"/>
        <v>568357.99691620481</v>
      </c>
      <c r="I49" s="345" t="s">
        <v>219</v>
      </c>
      <c r="J49" s="232">
        <v>0</v>
      </c>
      <c r="K49" s="232">
        <v>0</v>
      </c>
      <c r="L49" s="345"/>
      <c r="M49" s="345"/>
      <c r="N49" s="345">
        <v>2112161.534331264</v>
      </c>
      <c r="O49" s="345"/>
      <c r="P49" s="232"/>
      <c r="Q49" s="232"/>
      <c r="R49" s="232"/>
      <c r="S49" s="232"/>
      <c r="T49" s="232"/>
      <c r="U49" s="232"/>
      <c r="V49" s="232"/>
      <c r="W49" s="232"/>
      <c r="X49" s="232"/>
      <c r="Y49" s="232"/>
      <c r="Z49" s="232"/>
    </row>
    <row r="50" spans="1:26">
      <c r="A50" s="624">
        <v>54724</v>
      </c>
      <c r="B50" s="625">
        <v>83900</v>
      </c>
      <c r="C50" s="624">
        <v>2014</v>
      </c>
      <c r="D50" s="626" t="s">
        <v>623</v>
      </c>
      <c r="E50" s="626" t="s">
        <v>267</v>
      </c>
      <c r="F50" s="626" t="s">
        <v>620</v>
      </c>
      <c r="G50" s="345">
        <v>12703.83596</v>
      </c>
      <c r="H50" s="345">
        <f t="shared" si="0"/>
        <v>12703.83596</v>
      </c>
      <c r="I50" s="345" t="s">
        <v>219</v>
      </c>
      <c r="J50" s="232">
        <v>0</v>
      </c>
      <c r="K50" s="232">
        <v>0</v>
      </c>
      <c r="L50" s="345"/>
      <c r="M50" s="345"/>
      <c r="N50" s="345">
        <v>857508.92730000021</v>
      </c>
      <c r="O50" s="345"/>
      <c r="P50" s="232"/>
      <c r="Q50" s="232"/>
      <c r="R50" s="232"/>
      <c r="S50" s="232"/>
      <c r="T50" s="232"/>
      <c r="U50" s="232"/>
      <c r="V50" s="232"/>
      <c r="W50" s="232"/>
      <c r="X50" s="232"/>
      <c r="Y50" s="232"/>
      <c r="Z50" s="232"/>
    </row>
    <row r="51" spans="1:26">
      <c r="A51" s="624">
        <v>54996</v>
      </c>
      <c r="B51" s="625">
        <v>295485</v>
      </c>
      <c r="C51" s="624">
        <v>2014</v>
      </c>
      <c r="D51" s="626" t="s">
        <v>623</v>
      </c>
      <c r="E51" s="626" t="s">
        <v>267</v>
      </c>
      <c r="F51" s="626" t="s">
        <v>620</v>
      </c>
      <c r="G51" s="345">
        <v>44741.274954</v>
      </c>
      <c r="H51" s="345">
        <f t="shared" si="0"/>
        <v>44741.274954</v>
      </c>
      <c r="I51" s="345" t="s">
        <v>219</v>
      </c>
      <c r="J51" s="232">
        <v>0</v>
      </c>
      <c r="K51" s="232">
        <v>0</v>
      </c>
      <c r="L51" s="345"/>
      <c r="M51" s="345"/>
      <c r="N51" s="345">
        <v>3020036.0593949999</v>
      </c>
      <c r="O51" s="345"/>
      <c r="P51" s="232"/>
      <c r="Q51" s="232"/>
      <c r="R51" s="232"/>
      <c r="S51" s="232"/>
      <c r="T51" s="232"/>
      <c r="U51" s="232"/>
      <c r="V51" s="232"/>
      <c r="W51" s="232"/>
      <c r="X51" s="232"/>
      <c r="Y51" s="232"/>
      <c r="Z51" s="232"/>
    </row>
    <row r="52" spans="1:26">
      <c r="A52" s="624">
        <v>55983</v>
      </c>
      <c r="B52" s="625">
        <v>303206</v>
      </c>
      <c r="C52" s="624">
        <v>2014</v>
      </c>
      <c r="D52" s="626" t="s">
        <v>623</v>
      </c>
      <c r="E52" s="626" t="s">
        <v>267</v>
      </c>
      <c r="F52" s="626" t="s">
        <v>620</v>
      </c>
      <c r="G52" s="345">
        <v>45910.3609784</v>
      </c>
      <c r="H52" s="345">
        <f t="shared" si="0"/>
        <v>45910.3609784</v>
      </c>
      <c r="I52" s="345" t="s">
        <v>219</v>
      </c>
      <c r="J52" s="232">
        <v>0</v>
      </c>
      <c r="K52" s="232">
        <v>0</v>
      </c>
      <c r="L52" s="345"/>
      <c r="M52" s="345"/>
      <c r="N52" s="345">
        <v>3098949.3660420002</v>
      </c>
      <c r="O52" s="345"/>
      <c r="P52" s="232"/>
      <c r="Q52" s="232"/>
      <c r="R52" s="232"/>
      <c r="S52" s="232"/>
      <c r="T52" s="232"/>
      <c r="U52" s="232"/>
      <c r="V52" s="232"/>
      <c r="W52" s="232"/>
      <c r="X52" s="232"/>
      <c r="Y52" s="232"/>
      <c r="Z52" s="232"/>
    </row>
    <row r="53" spans="1:26">
      <c r="A53" s="624">
        <v>55984</v>
      </c>
      <c r="B53" s="625">
        <v>52329</v>
      </c>
      <c r="C53" s="624">
        <v>2014</v>
      </c>
      <c r="D53" s="626" t="s">
        <v>623</v>
      </c>
      <c r="E53" s="626" t="s">
        <v>267</v>
      </c>
      <c r="F53" s="626" t="s">
        <v>620</v>
      </c>
      <c r="G53" s="345">
        <v>7923.4687955999989</v>
      </c>
      <c r="H53" s="345">
        <f t="shared" si="0"/>
        <v>7923.4687955999989</v>
      </c>
      <c r="I53" s="345" t="s">
        <v>219</v>
      </c>
      <c r="J53" s="232">
        <v>0</v>
      </c>
      <c r="K53" s="232">
        <v>0</v>
      </c>
      <c r="L53" s="345"/>
      <c r="M53" s="345"/>
      <c r="N53" s="345">
        <v>534834.14370300015</v>
      </c>
      <c r="O53" s="345"/>
      <c r="P53" s="232"/>
      <c r="Q53" s="232"/>
      <c r="R53" s="232"/>
      <c r="S53" s="232"/>
      <c r="T53" s="232"/>
      <c r="U53" s="232"/>
      <c r="V53" s="232"/>
      <c r="W53" s="232"/>
      <c r="X53" s="232"/>
      <c r="Y53" s="232"/>
      <c r="Z53" s="232"/>
    </row>
    <row r="54" spans="1:26">
      <c r="A54" s="624">
        <v>55988</v>
      </c>
      <c r="B54" s="625">
        <v>10614</v>
      </c>
      <c r="C54" s="624">
        <v>2014</v>
      </c>
      <c r="D54" s="626" t="s">
        <v>623</v>
      </c>
      <c r="E54" s="626" t="s">
        <v>654</v>
      </c>
      <c r="F54" s="626" t="s">
        <v>620</v>
      </c>
      <c r="G54" s="345">
        <v>1607.1336695999998</v>
      </c>
      <c r="H54" s="345">
        <f t="shared" si="0"/>
        <v>1607.1336695999998</v>
      </c>
      <c r="I54" s="345" t="s">
        <v>216</v>
      </c>
      <c r="J54" s="232">
        <v>0</v>
      </c>
      <c r="K54" s="232">
        <v>0</v>
      </c>
      <c r="L54" s="345"/>
      <c r="M54" s="345"/>
      <c r="N54" s="345">
        <v>108481.52269800003</v>
      </c>
      <c r="O54" s="345"/>
      <c r="P54" s="232"/>
      <c r="Q54" s="232"/>
      <c r="R54" s="232"/>
      <c r="S54" s="232"/>
      <c r="T54" s="232"/>
      <c r="U54" s="232"/>
      <c r="V54" s="232"/>
      <c r="W54" s="232"/>
      <c r="X54" s="232"/>
      <c r="Y54" s="232"/>
      <c r="Z54" s="232"/>
    </row>
    <row r="55" spans="1:26">
      <c r="A55" s="624">
        <v>55991</v>
      </c>
      <c r="B55" s="625">
        <v>52129</v>
      </c>
      <c r="C55" s="624">
        <v>2014</v>
      </c>
      <c r="D55" s="626" t="s">
        <v>623</v>
      </c>
      <c r="E55" s="626" t="s">
        <v>267</v>
      </c>
      <c r="F55" s="626" t="s">
        <v>620</v>
      </c>
      <c r="G55" s="345">
        <v>7893.1855155999992</v>
      </c>
      <c r="H55" s="345">
        <f t="shared" si="0"/>
        <v>7893.1855155999992</v>
      </c>
      <c r="I55" s="345" t="s">
        <v>216</v>
      </c>
      <c r="J55" s="232">
        <v>0</v>
      </c>
      <c r="K55" s="232">
        <v>0</v>
      </c>
      <c r="L55" s="345"/>
      <c r="M55" s="345"/>
      <c r="N55" s="345">
        <v>532790.02230300021</v>
      </c>
      <c r="O55" s="345"/>
      <c r="P55" s="232"/>
      <c r="Q55" s="232"/>
      <c r="R55" s="232"/>
      <c r="S55" s="232"/>
      <c r="T55" s="232"/>
      <c r="U55" s="232"/>
      <c r="V55" s="232"/>
      <c r="W55" s="232"/>
      <c r="X55" s="232"/>
      <c r="Y55" s="232"/>
      <c r="Z55" s="232"/>
    </row>
    <row r="56" spans="1:26">
      <c r="A56" s="624">
        <v>56317</v>
      </c>
      <c r="B56" s="625">
        <v>78799</v>
      </c>
      <c r="C56" s="624">
        <v>2014</v>
      </c>
      <c r="D56" s="626" t="s">
        <v>621</v>
      </c>
      <c r="E56" s="626" t="s">
        <v>267</v>
      </c>
      <c r="F56" s="626" t="s">
        <v>620</v>
      </c>
      <c r="G56" s="345">
        <v>1014174.1768059998</v>
      </c>
      <c r="H56" s="345">
        <f t="shared" si="0"/>
        <v>1014174.1768059998</v>
      </c>
      <c r="I56" s="345" t="s">
        <v>216</v>
      </c>
      <c r="J56" s="232">
        <v>0</v>
      </c>
      <c r="K56" s="232">
        <v>0</v>
      </c>
      <c r="L56" s="345"/>
      <c r="M56" s="345"/>
      <c r="N56" s="345">
        <v>0</v>
      </c>
      <c r="O56" s="345"/>
      <c r="P56" s="232"/>
      <c r="Q56" s="232"/>
      <c r="R56" s="232"/>
      <c r="S56" s="232"/>
      <c r="T56" s="232"/>
      <c r="U56" s="232"/>
      <c r="V56" s="232"/>
      <c r="W56" s="232"/>
      <c r="X56" s="232"/>
      <c r="Y56" s="232"/>
      <c r="Z56" s="232"/>
    </row>
    <row r="57" spans="1:26">
      <c r="A57" s="624">
        <v>56321</v>
      </c>
      <c r="B57" s="625">
        <v>149748</v>
      </c>
      <c r="C57" s="624">
        <v>2014</v>
      </c>
      <c r="D57" s="626" t="s">
        <v>621</v>
      </c>
      <c r="E57" s="626" t="s">
        <v>267</v>
      </c>
      <c r="F57" s="626" t="s">
        <v>625</v>
      </c>
      <c r="G57" s="345">
        <v>566857.57667999994</v>
      </c>
      <c r="H57" s="345">
        <f t="shared" si="0"/>
        <v>566857.57667999994</v>
      </c>
      <c r="I57" s="345" t="s">
        <v>216</v>
      </c>
      <c r="J57" s="232">
        <v>0</v>
      </c>
      <c r="K57" s="232">
        <v>0</v>
      </c>
      <c r="L57" s="345"/>
      <c r="M57" s="345"/>
      <c r="N57" s="345">
        <v>0</v>
      </c>
      <c r="O57" s="345"/>
      <c r="P57" s="232"/>
      <c r="Q57" s="232"/>
      <c r="R57" s="232"/>
      <c r="S57" s="232"/>
      <c r="T57" s="232"/>
      <c r="U57" s="232"/>
      <c r="V57" s="232"/>
      <c r="W57" s="232"/>
      <c r="X57" s="232"/>
      <c r="Y57" s="232"/>
      <c r="Z57" s="232"/>
    </row>
    <row r="58" spans="1:26">
      <c r="A58" s="624">
        <v>56540</v>
      </c>
      <c r="B58" s="625">
        <v>47276</v>
      </c>
      <c r="C58" s="624">
        <v>2014</v>
      </c>
      <c r="D58" s="626" t="s">
        <v>621</v>
      </c>
      <c r="E58" s="626" t="s">
        <v>267</v>
      </c>
      <c r="F58" s="626" t="s">
        <v>625</v>
      </c>
      <c r="G58" s="345">
        <v>178959.04316</v>
      </c>
      <c r="H58" s="345">
        <f t="shared" si="0"/>
        <v>178959.04316</v>
      </c>
      <c r="I58" s="345" t="s">
        <v>216</v>
      </c>
      <c r="J58" s="232">
        <v>0</v>
      </c>
      <c r="K58" s="232">
        <v>0</v>
      </c>
      <c r="L58" s="345"/>
      <c r="M58" s="345"/>
      <c r="N58" s="345">
        <v>0</v>
      </c>
      <c r="O58" s="345"/>
      <c r="P58" s="232"/>
      <c r="Q58" s="232"/>
      <c r="R58" s="232"/>
      <c r="S58" s="232"/>
      <c r="T58" s="232"/>
      <c r="U58" s="232"/>
      <c r="V58" s="232"/>
      <c r="W58" s="232"/>
      <c r="X58" s="232"/>
      <c r="Y58" s="232"/>
      <c r="Z58" s="232"/>
    </row>
    <row r="59" spans="1:26">
      <c r="A59" s="624">
        <v>56541</v>
      </c>
      <c r="B59" s="625">
        <v>135447</v>
      </c>
      <c r="C59" s="624">
        <v>2014</v>
      </c>
      <c r="D59" s="626" t="s">
        <v>621</v>
      </c>
      <c r="E59" s="626" t="s">
        <v>267</v>
      </c>
      <c r="F59" s="626" t="s">
        <v>625</v>
      </c>
      <c r="G59" s="345">
        <v>512722.42826999997</v>
      </c>
      <c r="H59" s="345">
        <f t="shared" si="0"/>
        <v>512722.42826999997</v>
      </c>
      <c r="I59" s="345" t="s">
        <v>216</v>
      </c>
      <c r="J59" s="232">
        <v>0</v>
      </c>
      <c r="K59" s="232">
        <v>0</v>
      </c>
      <c r="L59" s="345"/>
      <c r="M59" s="345"/>
      <c r="N59" s="345">
        <v>0</v>
      </c>
      <c r="O59" s="345"/>
      <c r="P59" s="630"/>
      <c r="Q59" s="232"/>
      <c r="R59" s="232"/>
      <c r="S59" s="232"/>
      <c r="T59" s="232"/>
      <c r="U59" s="232"/>
      <c r="V59" s="232"/>
      <c r="W59" s="232"/>
      <c r="X59" s="232"/>
      <c r="Y59" s="232"/>
      <c r="Z59" s="232"/>
    </row>
    <row r="60" spans="1:26">
      <c r="A60" s="624">
        <v>56832</v>
      </c>
      <c r="B60" s="625">
        <v>138508</v>
      </c>
      <c r="C60" s="624">
        <v>2014</v>
      </c>
      <c r="D60" s="626" t="s">
        <v>621</v>
      </c>
      <c r="E60" s="626" t="s">
        <v>267</v>
      </c>
      <c r="F60" s="626" t="s">
        <v>620</v>
      </c>
      <c r="G60" s="345">
        <v>1782652.5321519999</v>
      </c>
      <c r="H60" s="345">
        <f t="shared" si="0"/>
        <v>1782652.5321519999</v>
      </c>
      <c r="I60" s="345" t="s">
        <v>219</v>
      </c>
      <c r="J60" s="232">
        <v>0</v>
      </c>
      <c r="K60" s="232">
        <v>0</v>
      </c>
      <c r="L60" s="345"/>
      <c r="M60" s="345"/>
      <c r="N60" s="345">
        <v>0</v>
      </c>
      <c r="O60" s="345"/>
      <c r="P60" s="630"/>
      <c r="Q60" s="232"/>
      <c r="R60" s="232"/>
      <c r="S60" s="232"/>
      <c r="T60" s="232"/>
      <c r="U60" s="232"/>
      <c r="V60" s="232"/>
      <c r="W60" s="232"/>
      <c r="X60" s="232"/>
      <c r="Y60" s="232"/>
      <c r="Z60" s="232"/>
    </row>
    <row r="61" spans="1:26">
      <c r="A61" s="624">
        <v>56982</v>
      </c>
      <c r="B61" s="625">
        <v>239601</v>
      </c>
      <c r="C61" s="624">
        <v>2014</v>
      </c>
      <c r="D61" s="626" t="s">
        <v>621</v>
      </c>
      <c r="E61" s="626" t="s">
        <v>267</v>
      </c>
      <c r="F61" s="626" t="s">
        <v>620</v>
      </c>
      <c r="G61" s="345">
        <v>3083759.2727939994</v>
      </c>
      <c r="H61" s="345">
        <f t="shared" si="0"/>
        <v>3083759.2727939994</v>
      </c>
      <c r="I61" s="345" t="s">
        <v>216</v>
      </c>
      <c r="J61" s="232">
        <v>0</v>
      </c>
      <c r="K61" s="232">
        <v>0</v>
      </c>
      <c r="L61" s="345"/>
      <c r="M61" s="345"/>
      <c r="N61" s="345">
        <v>0</v>
      </c>
      <c r="O61" s="345"/>
      <c r="P61" s="630"/>
      <c r="Q61" s="232"/>
      <c r="R61" s="232"/>
      <c r="S61" s="232"/>
      <c r="T61" s="232"/>
      <c r="U61" s="232"/>
      <c r="V61" s="232"/>
      <c r="W61" s="232"/>
      <c r="X61" s="232"/>
      <c r="Y61" s="232"/>
      <c r="Z61" s="232"/>
    </row>
    <row r="62" spans="1:26">
      <c r="A62" s="624">
        <v>57213</v>
      </c>
      <c r="B62" s="625">
        <v>103451</v>
      </c>
      <c r="C62" s="624">
        <v>2014</v>
      </c>
      <c r="D62" s="626" t="s">
        <v>621</v>
      </c>
      <c r="E62" s="626" t="s">
        <v>655</v>
      </c>
      <c r="F62" s="626" t="s">
        <v>624</v>
      </c>
      <c r="G62" s="345">
        <v>15664.1779964</v>
      </c>
      <c r="H62" s="345">
        <f t="shared" si="0"/>
        <v>15664.1779964</v>
      </c>
      <c r="I62" s="345" t="s">
        <v>216</v>
      </c>
      <c r="J62" s="232">
        <v>0</v>
      </c>
      <c r="K62" s="232">
        <v>0</v>
      </c>
      <c r="L62" s="345"/>
      <c r="M62" s="345"/>
      <c r="N62" s="345">
        <v>0</v>
      </c>
      <c r="O62" s="345"/>
      <c r="P62" s="630"/>
      <c r="Q62" s="232"/>
      <c r="R62" s="232"/>
      <c r="S62" s="232"/>
      <c r="T62" s="232"/>
      <c r="U62" s="232"/>
      <c r="V62" s="232"/>
      <c r="W62" s="232"/>
      <c r="X62" s="232"/>
      <c r="Y62" s="232"/>
      <c r="Z62" s="232"/>
    </row>
    <row r="63" spans="1:26">
      <c r="A63" s="624">
        <v>57353</v>
      </c>
      <c r="B63" s="625">
        <v>81479</v>
      </c>
      <c r="C63" s="624">
        <v>2014</v>
      </c>
      <c r="D63" s="626" t="s">
        <v>621</v>
      </c>
      <c r="E63" s="626" t="s">
        <v>267</v>
      </c>
      <c r="F63" s="626" t="s">
        <v>620</v>
      </c>
      <c r="G63" s="345">
        <v>1048666.8327259999</v>
      </c>
      <c r="H63" s="345">
        <f t="shared" si="0"/>
        <v>1048666.8327259999</v>
      </c>
      <c r="I63" s="345" t="s">
        <v>216</v>
      </c>
      <c r="J63" s="232">
        <v>0</v>
      </c>
      <c r="K63" s="232">
        <v>0</v>
      </c>
      <c r="L63" s="345"/>
      <c r="M63" s="345"/>
      <c r="N63" s="345">
        <v>0</v>
      </c>
      <c r="O63" s="345"/>
      <c r="P63" s="630"/>
      <c r="Q63" s="232"/>
      <c r="R63" s="232"/>
      <c r="S63" s="232"/>
      <c r="T63" s="232"/>
      <c r="U63" s="232"/>
      <c r="V63" s="232"/>
      <c r="W63" s="232"/>
      <c r="X63" s="232"/>
      <c r="Y63" s="232"/>
      <c r="Z63" s="232"/>
    </row>
    <row r="64" spans="1:26">
      <c r="A64" s="624">
        <v>57376</v>
      </c>
      <c r="B64" s="625">
        <v>77942</v>
      </c>
      <c r="C64" s="624">
        <v>2014</v>
      </c>
      <c r="D64" s="626" t="s">
        <v>621</v>
      </c>
      <c r="E64" s="626" t="s">
        <v>267</v>
      </c>
      <c r="F64" s="626" t="s">
        <v>624</v>
      </c>
      <c r="G64" s="345">
        <v>11801.697048800001</v>
      </c>
      <c r="H64" s="345">
        <f t="shared" si="0"/>
        <v>11801.697048800001</v>
      </c>
      <c r="I64" s="345" t="s">
        <v>216</v>
      </c>
      <c r="J64" s="232">
        <v>0</v>
      </c>
      <c r="K64" s="232">
        <v>0</v>
      </c>
      <c r="L64" s="345"/>
      <c r="M64" s="345"/>
      <c r="N64" s="345">
        <v>0</v>
      </c>
      <c r="O64" s="345"/>
      <c r="P64" s="630"/>
      <c r="Q64" s="232"/>
      <c r="R64" s="232"/>
      <c r="S64" s="232"/>
      <c r="T64" s="232"/>
      <c r="U64" s="232"/>
      <c r="V64" s="232"/>
      <c r="W64" s="232"/>
      <c r="X64" s="232"/>
      <c r="Y64" s="232"/>
      <c r="Z64" s="232"/>
    </row>
    <row r="65" spans="1:26">
      <c r="A65" s="624">
        <v>57446</v>
      </c>
      <c r="B65" s="625">
        <v>325495</v>
      </c>
      <c r="C65" s="624">
        <v>2014</v>
      </c>
      <c r="D65" s="626" t="s">
        <v>621</v>
      </c>
      <c r="E65" s="626" t="s">
        <v>267</v>
      </c>
      <c r="F65" s="626" t="s">
        <v>624</v>
      </c>
      <c r="G65" s="345">
        <v>49285.281118000006</v>
      </c>
      <c r="H65" s="345">
        <f t="shared" si="0"/>
        <v>49285.281118000006</v>
      </c>
      <c r="I65" s="345" t="s">
        <v>216</v>
      </c>
      <c r="J65" s="232">
        <v>0</v>
      </c>
      <c r="K65" s="232">
        <v>0</v>
      </c>
      <c r="L65" s="345"/>
      <c r="M65" s="345"/>
      <c r="N65" s="345">
        <v>0</v>
      </c>
      <c r="O65" s="345"/>
      <c r="P65" s="630"/>
      <c r="Q65" s="232"/>
      <c r="R65" s="232"/>
      <c r="S65" s="232"/>
      <c r="T65" s="232"/>
      <c r="U65" s="232"/>
      <c r="V65" s="232"/>
      <c r="W65" s="232"/>
      <c r="X65" s="232"/>
      <c r="Y65" s="232"/>
      <c r="Z65" s="232"/>
    </row>
    <row r="66" spans="1:26">
      <c r="A66" s="624">
        <v>57451</v>
      </c>
      <c r="B66" s="625">
        <v>137376</v>
      </c>
      <c r="C66" s="624">
        <v>2014</v>
      </c>
      <c r="D66" s="626" t="s">
        <v>621</v>
      </c>
      <c r="E66" s="626" t="s">
        <v>267</v>
      </c>
      <c r="F66" s="626" t="s">
        <v>620</v>
      </c>
      <c r="G66" s="345">
        <v>1768083.2461439997</v>
      </c>
      <c r="H66" s="345">
        <f t="shared" si="0"/>
        <v>1768083.2461439997</v>
      </c>
      <c r="I66" s="345" t="s">
        <v>216</v>
      </c>
      <c r="J66" s="232">
        <v>0</v>
      </c>
      <c r="K66" s="232">
        <v>0</v>
      </c>
      <c r="L66" s="345"/>
      <c r="M66" s="345"/>
      <c r="N66" s="345">
        <v>0</v>
      </c>
      <c r="O66" s="345"/>
      <c r="P66" s="630"/>
      <c r="Q66" s="232"/>
      <c r="R66" s="232"/>
      <c r="S66" s="232"/>
      <c r="T66" s="232"/>
      <c r="U66" s="232"/>
      <c r="V66" s="232"/>
      <c r="W66" s="232"/>
      <c r="X66" s="232"/>
      <c r="Y66" s="232"/>
      <c r="Z66" s="232"/>
    </row>
    <row r="67" spans="1:26">
      <c r="A67" s="624">
        <v>57456</v>
      </c>
      <c r="B67" s="625">
        <v>76894</v>
      </c>
      <c r="C67" s="624">
        <v>2014</v>
      </c>
      <c r="D67" s="626" t="s">
        <v>623</v>
      </c>
      <c r="E67" s="626" t="s">
        <v>267</v>
      </c>
      <c r="F67" s="626" t="s">
        <v>620</v>
      </c>
      <c r="G67" s="345">
        <v>11643.0126616</v>
      </c>
      <c r="H67" s="345">
        <f t="shared" si="0"/>
        <v>11643.0126616</v>
      </c>
      <c r="I67" s="345" t="s">
        <v>216</v>
      </c>
      <c r="J67" s="232">
        <v>0</v>
      </c>
      <c r="K67" s="232">
        <v>0</v>
      </c>
      <c r="L67" s="345"/>
      <c r="M67" s="345"/>
      <c r="N67" s="345">
        <v>785903.35465800005</v>
      </c>
      <c r="O67" s="345"/>
      <c r="P67" s="630"/>
      <c r="Q67" s="232"/>
      <c r="R67" s="232"/>
      <c r="S67" s="232"/>
      <c r="T67" s="232"/>
      <c r="U67" s="232"/>
      <c r="V67" s="232"/>
      <c r="W67" s="232"/>
      <c r="X67" s="232"/>
      <c r="Y67" s="232"/>
      <c r="Z67" s="232"/>
    </row>
    <row r="68" spans="1:26">
      <c r="A68" s="624">
        <v>57475</v>
      </c>
      <c r="B68" s="625">
        <v>429194</v>
      </c>
      <c r="C68" s="624">
        <v>2014</v>
      </c>
      <c r="D68" s="626" t="s">
        <v>623</v>
      </c>
      <c r="E68" s="626" t="s">
        <v>267</v>
      </c>
      <c r="F68" s="626" t="s">
        <v>620</v>
      </c>
      <c r="G68" s="345">
        <v>64987.010381600012</v>
      </c>
      <c r="H68" s="345">
        <f t="shared" si="0"/>
        <v>64987.010381600012</v>
      </c>
      <c r="I68" s="345" t="s">
        <v>219</v>
      </c>
      <c r="J68" s="232">
        <v>0</v>
      </c>
      <c r="K68" s="232">
        <v>0</v>
      </c>
      <c r="L68" s="345"/>
      <c r="M68" s="345"/>
      <c r="N68" s="345">
        <v>4386623.2007579999</v>
      </c>
      <c r="O68" s="345"/>
      <c r="P68" s="630"/>
      <c r="Q68" s="232"/>
      <c r="R68" s="232"/>
      <c r="S68" s="232"/>
      <c r="T68" s="232"/>
      <c r="U68" s="232"/>
      <c r="V68" s="232"/>
      <c r="W68" s="232"/>
      <c r="X68" s="232"/>
      <c r="Y68" s="232"/>
      <c r="Z68" s="232"/>
    </row>
    <row r="69" spans="1:26">
      <c r="A69" s="624">
        <v>58022</v>
      </c>
      <c r="B69" s="625">
        <v>183467</v>
      </c>
      <c r="C69" s="624">
        <v>2014</v>
      </c>
      <c r="D69" s="626" t="s">
        <v>621</v>
      </c>
      <c r="E69" s="626" t="s">
        <v>267</v>
      </c>
      <c r="F69" s="626" t="s">
        <v>624</v>
      </c>
      <c r="G69" s="345">
        <v>27779.9126588</v>
      </c>
      <c r="H69" s="345">
        <f>G69</f>
        <v>27779.9126588</v>
      </c>
      <c r="I69" s="629" t="s">
        <v>216</v>
      </c>
      <c r="J69" s="232">
        <v>0</v>
      </c>
      <c r="K69" s="232">
        <v>0</v>
      </c>
      <c r="L69" s="345"/>
      <c r="M69" s="345"/>
      <c r="N69" s="345">
        <v>0</v>
      </c>
      <c r="O69" s="345"/>
      <c r="P69" s="630"/>
      <c r="Q69" s="232"/>
      <c r="R69" s="232"/>
      <c r="S69" s="232"/>
      <c r="T69" s="232"/>
      <c r="U69" s="232"/>
      <c r="V69" s="232"/>
      <c r="W69" s="232"/>
      <c r="X69" s="232"/>
      <c r="Y69" s="232"/>
      <c r="Z69" s="232"/>
    </row>
    <row r="70" spans="1:26">
      <c r="A70" s="624">
        <v>58319</v>
      </c>
      <c r="B70" s="625">
        <v>116276</v>
      </c>
      <c r="C70" s="624">
        <v>2014</v>
      </c>
      <c r="D70" s="626" t="s">
        <v>621</v>
      </c>
      <c r="E70" s="626" t="s">
        <v>267</v>
      </c>
      <c r="F70" s="626" t="s">
        <v>624</v>
      </c>
      <c r="G70" s="345">
        <v>17606.093326399998</v>
      </c>
      <c r="H70" s="345">
        <f>G70</f>
        <v>17606.093326399998</v>
      </c>
      <c r="I70" s="629" t="s">
        <v>216</v>
      </c>
      <c r="J70" s="232">
        <v>0</v>
      </c>
      <c r="K70" s="232">
        <v>0</v>
      </c>
      <c r="L70" s="345"/>
      <c r="M70" s="345"/>
      <c r="N70" s="345">
        <v>0</v>
      </c>
      <c r="O70" s="345"/>
      <c r="P70" s="630"/>
      <c r="Q70" s="232"/>
      <c r="R70" s="232"/>
      <c r="S70" s="232"/>
      <c r="T70" s="232"/>
      <c r="U70" s="232"/>
      <c r="V70" s="232"/>
      <c r="W70" s="232"/>
      <c r="X70" s="232"/>
      <c r="Y70" s="232"/>
      <c r="Z70" s="232"/>
    </row>
    <row r="71" spans="1:26">
      <c r="A71" s="624">
        <v>58533</v>
      </c>
      <c r="B71" s="625">
        <v>150459</v>
      </c>
      <c r="C71" s="624">
        <v>2014</v>
      </c>
      <c r="D71" s="626" t="s">
        <v>621</v>
      </c>
      <c r="E71" s="626" t="s">
        <v>267</v>
      </c>
      <c r="F71" s="626" t="s">
        <v>624</v>
      </c>
      <c r="G71" s="345">
        <v>22781.960127599999</v>
      </c>
      <c r="H71" s="345">
        <f>G71</f>
        <v>22781.960127599999</v>
      </c>
      <c r="I71" s="629" t="s">
        <v>216</v>
      </c>
      <c r="J71" s="232">
        <v>0</v>
      </c>
      <c r="K71" s="232">
        <v>0</v>
      </c>
      <c r="L71" s="345"/>
      <c r="M71" s="345"/>
      <c r="N71" s="345">
        <v>0</v>
      </c>
      <c r="O71" s="345"/>
      <c r="P71" s="630"/>
      <c r="Q71" s="232"/>
      <c r="R71" s="232"/>
      <c r="S71" s="232"/>
      <c r="T71" s="232"/>
      <c r="U71" s="232"/>
      <c r="V71" s="232"/>
      <c r="W71" s="232"/>
      <c r="X71" s="232"/>
      <c r="Y71" s="232"/>
      <c r="Z71" s="232"/>
    </row>
    <row r="72" spans="1:26">
      <c r="A72" s="624">
        <v>58570</v>
      </c>
      <c r="B72" s="625">
        <v>165107</v>
      </c>
      <c r="C72" s="624">
        <v>2014</v>
      </c>
      <c r="D72" s="626" t="s">
        <v>621</v>
      </c>
      <c r="E72" s="626" t="s">
        <v>267</v>
      </c>
      <c r="F72" s="626" t="s">
        <v>624</v>
      </c>
      <c r="G72" s="345">
        <v>24999.9075548</v>
      </c>
      <c r="H72" s="345">
        <f>G72</f>
        <v>24999.9075548</v>
      </c>
      <c r="I72" s="629" t="s">
        <v>216</v>
      </c>
      <c r="J72" s="232">
        <v>0</v>
      </c>
      <c r="K72" s="232">
        <v>0</v>
      </c>
      <c r="L72" s="345"/>
      <c r="M72" s="345"/>
      <c r="N72" s="345">
        <v>0</v>
      </c>
      <c r="O72" s="345"/>
      <c r="P72" s="630"/>
      <c r="Q72" s="232"/>
      <c r="R72" s="232"/>
      <c r="S72" s="232"/>
      <c r="T72" s="232"/>
      <c r="U72" s="232"/>
      <c r="V72" s="232"/>
      <c r="W72" s="232"/>
      <c r="X72" s="232"/>
      <c r="Y72" s="232"/>
      <c r="Z72" s="232"/>
    </row>
    <row r="73" spans="1:26">
      <c r="A73" s="624">
        <v>58629</v>
      </c>
      <c r="B73" s="625">
        <v>8736</v>
      </c>
      <c r="C73" s="624">
        <v>2014</v>
      </c>
      <c r="D73" s="626" t="s">
        <v>621</v>
      </c>
      <c r="E73" s="626" t="s">
        <v>267</v>
      </c>
      <c r="F73" s="626" t="s">
        <v>620</v>
      </c>
      <c r="G73" s="345">
        <v>112435.76198399998</v>
      </c>
      <c r="H73" s="345">
        <f>G73</f>
        <v>112435.76198399998</v>
      </c>
      <c r="I73" s="345" t="s">
        <v>219</v>
      </c>
      <c r="J73" s="232">
        <v>0</v>
      </c>
      <c r="K73" s="232">
        <v>0</v>
      </c>
      <c r="L73" s="345"/>
      <c r="M73" s="345"/>
      <c r="N73" s="345">
        <v>0</v>
      </c>
      <c r="O73" s="345"/>
      <c r="P73" s="630"/>
      <c r="Q73" s="232"/>
      <c r="R73" s="232"/>
      <c r="S73" s="232"/>
      <c r="T73" s="232"/>
      <c r="U73" s="232"/>
      <c r="V73" s="232"/>
      <c r="W73" s="232"/>
      <c r="X73" s="232"/>
      <c r="Y73" s="232"/>
      <c r="Z73" s="232"/>
    </row>
    <row r="74" spans="1:26">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row>
    <row r="75" spans="1:26">
      <c r="A75" s="77" t="s">
        <v>600</v>
      </c>
      <c r="B75" s="77" t="s">
        <v>615</v>
      </c>
      <c r="C75" s="77"/>
      <c r="D75" s="77"/>
      <c r="E75" s="232"/>
      <c r="F75" s="232"/>
      <c r="G75" s="232"/>
      <c r="H75" s="232"/>
      <c r="I75" s="232"/>
      <c r="J75" s="232"/>
      <c r="K75" s="232"/>
      <c r="L75" s="232"/>
      <c r="M75" s="232"/>
      <c r="N75" s="232"/>
      <c r="O75" s="232"/>
      <c r="P75" s="232"/>
      <c r="Q75" s="232"/>
      <c r="R75" s="232"/>
      <c r="S75" s="232"/>
      <c r="T75" s="232"/>
      <c r="U75" s="232"/>
      <c r="V75" s="232"/>
      <c r="W75" s="232"/>
      <c r="X75" s="232"/>
      <c r="Y75" s="232"/>
      <c r="Z75" s="232"/>
    </row>
    <row r="76" spans="1:26">
      <c r="A76" s="77" t="s">
        <v>596</v>
      </c>
      <c r="B76" s="77" t="s">
        <v>615</v>
      </c>
      <c r="C76" s="77"/>
      <c r="D76" s="77"/>
      <c r="E76" s="232"/>
      <c r="F76" s="232"/>
      <c r="G76" s="232"/>
      <c r="H76" s="232"/>
      <c r="I76" s="232"/>
      <c r="J76" s="232"/>
      <c r="K76" s="232"/>
      <c r="L76" s="232"/>
      <c r="M76" s="232"/>
      <c r="N76" s="232"/>
      <c r="O76" s="232"/>
      <c r="P76" s="232"/>
      <c r="Q76" s="232"/>
      <c r="R76" s="232"/>
      <c r="S76" s="232"/>
      <c r="T76" s="232"/>
      <c r="U76" s="232"/>
      <c r="V76" s="232"/>
      <c r="W76" s="232"/>
      <c r="X76" s="232"/>
      <c r="Y76" s="232"/>
      <c r="Z76" s="232"/>
    </row>
    <row r="77" spans="1:26">
      <c r="A77" s="77"/>
      <c r="B77" s="77"/>
      <c r="C77" s="77"/>
      <c r="D77" s="77"/>
      <c r="E77" s="232"/>
      <c r="F77" s="232"/>
      <c r="G77" s="232"/>
      <c r="H77" s="232"/>
      <c r="I77" s="232"/>
      <c r="J77" s="232"/>
      <c r="K77" s="232"/>
      <c r="L77" s="232"/>
      <c r="M77" s="232"/>
      <c r="N77" s="232"/>
      <c r="O77" s="232"/>
      <c r="P77" s="232"/>
      <c r="Q77" s="232"/>
      <c r="R77" s="232"/>
      <c r="S77" s="232"/>
      <c r="T77" s="232"/>
      <c r="U77" s="232"/>
      <c r="V77" s="232"/>
      <c r="W77" s="232"/>
      <c r="X77" s="232"/>
      <c r="Y77" s="232"/>
      <c r="Z77" s="232"/>
    </row>
    <row r="78" spans="1:26">
      <c r="A78" s="77" t="s">
        <v>616</v>
      </c>
      <c r="B78" s="77" t="s">
        <v>617</v>
      </c>
      <c r="C78" s="77" t="s">
        <v>618</v>
      </c>
      <c r="D78" s="77" t="s">
        <v>619</v>
      </c>
      <c r="E78" s="232"/>
      <c r="F78" s="232"/>
      <c r="G78" s="232"/>
      <c r="H78" s="232"/>
      <c r="I78" s="232"/>
      <c r="J78" s="232"/>
      <c r="K78" s="232"/>
      <c r="L78" s="232"/>
      <c r="M78" s="232"/>
      <c r="N78" s="232"/>
      <c r="O78" s="232"/>
      <c r="P78" s="232"/>
      <c r="Q78" s="232"/>
      <c r="R78" s="232"/>
      <c r="S78" s="232"/>
      <c r="T78" s="232"/>
      <c r="U78" s="232"/>
      <c r="V78" s="232"/>
      <c r="W78" s="232"/>
      <c r="X78" s="232"/>
      <c r="Y78" s="232"/>
      <c r="Z78" s="232"/>
    </row>
    <row r="79" spans="1:26">
      <c r="A79" s="530" t="s">
        <v>620</v>
      </c>
      <c r="B79" s="573">
        <v>16640950.363726357</v>
      </c>
      <c r="C79" s="573">
        <v>16640950.363726357</v>
      </c>
      <c r="D79" s="573">
        <v>13314239</v>
      </c>
      <c r="E79" s="232"/>
      <c r="F79" s="232"/>
      <c r="G79" s="232"/>
      <c r="H79" s="232"/>
      <c r="I79" s="232"/>
      <c r="J79" s="232"/>
      <c r="K79" s="232"/>
      <c r="L79" s="232"/>
      <c r="M79" s="232"/>
      <c r="N79" s="232"/>
      <c r="O79" s="232"/>
      <c r="P79" s="232"/>
      <c r="Q79" s="232"/>
      <c r="R79" s="232"/>
      <c r="S79" s="232"/>
      <c r="T79" s="232"/>
      <c r="U79" s="232"/>
      <c r="V79" s="232"/>
      <c r="W79" s="232"/>
      <c r="X79" s="232"/>
      <c r="Y79" s="232"/>
      <c r="Z79" s="232"/>
    </row>
    <row r="80" spans="1:26">
      <c r="A80" s="531" t="s">
        <v>621</v>
      </c>
      <c r="B80" s="573">
        <v>14519397.4404776</v>
      </c>
      <c r="C80" s="573">
        <v>14519397.4404776</v>
      </c>
      <c r="D80" s="573">
        <v>1434369</v>
      </c>
      <c r="E80" s="232"/>
      <c r="F80" s="232"/>
      <c r="G80" s="232"/>
      <c r="H80" s="232"/>
      <c r="I80" s="232"/>
      <c r="J80" s="232"/>
      <c r="K80" s="232"/>
      <c r="L80" s="232"/>
      <c r="M80" s="232"/>
      <c r="N80" s="232"/>
      <c r="O80" s="232"/>
      <c r="P80" s="232"/>
      <c r="Q80" s="232"/>
      <c r="R80" s="232"/>
      <c r="S80" s="232"/>
      <c r="T80" s="232"/>
      <c r="U80" s="232"/>
      <c r="V80" s="232"/>
      <c r="W80" s="232"/>
      <c r="X80" s="232"/>
      <c r="Y80" s="232"/>
      <c r="Z80" s="232"/>
    </row>
    <row r="81" spans="1:26">
      <c r="A81" s="531" t="s">
        <v>622</v>
      </c>
      <c r="B81" s="573">
        <v>326194.2306904</v>
      </c>
      <c r="C81" s="573">
        <v>326194.2306904</v>
      </c>
      <c r="D81" s="573">
        <v>2154286</v>
      </c>
      <c r="E81" s="232"/>
      <c r="F81" s="232"/>
      <c r="G81" s="232"/>
      <c r="H81" s="232"/>
      <c r="I81" s="232"/>
      <c r="J81" s="232"/>
      <c r="K81" s="232"/>
      <c r="L81" s="232"/>
      <c r="M81" s="232"/>
      <c r="N81" s="232"/>
      <c r="O81" s="232"/>
      <c r="P81" s="232"/>
      <c r="Q81" s="232"/>
      <c r="R81" s="232"/>
      <c r="S81" s="232"/>
      <c r="T81" s="232"/>
      <c r="U81" s="232"/>
      <c r="V81" s="232"/>
      <c r="W81" s="232"/>
      <c r="X81" s="232"/>
      <c r="Y81" s="232"/>
      <c r="Z81" s="232"/>
    </row>
    <row r="82" spans="1:26">
      <c r="A82" s="531" t="s">
        <v>623</v>
      </c>
      <c r="B82" s="573">
        <v>1795358.692558357</v>
      </c>
      <c r="C82" s="573">
        <v>1795358.692558357</v>
      </c>
      <c r="D82" s="573">
        <v>9725584</v>
      </c>
      <c r="E82" s="232"/>
      <c r="F82" s="232"/>
      <c r="G82" s="232"/>
      <c r="H82" s="232"/>
      <c r="I82" s="232"/>
      <c r="J82" s="232"/>
      <c r="K82" s="232"/>
      <c r="L82" s="232"/>
      <c r="M82" s="232"/>
      <c r="N82" s="232"/>
      <c r="O82" s="232"/>
      <c r="P82" s="232"/>
      <c r="Q82" s="232"/>
      <c r="R82" s="232"/>
      <c r="S82" s="232"/>
      <c r="T82" s="232"/>
      <c r="U82" s="232"/>
      <c r="V82" s="232"/>
      <c r="W82" s="232"/>
      <c r="X82" s="232"/>
      <c r="Y82" s="232"/>
      <c r="Z82" s="232"/>
    </row>
    <row r="83" spans="1:26">
      <c r="A83" s="530" t="s">
        <v>624</v>
      </c>
      <c r="B83" s="573">
        <v>327351.50623559998</v>
      </c>
      <c r="C83" s="573">
        <v>327351.50623559998</v>
      </c>
      <c r="D83" s="573">
        <v>2161929</v>
      </c>
      <c r="E83" s="232"/>
      <c r="F83" s="232"/>
      <c r="G83" s="232"/>
      <c r="H83" s="232"/>
      <c r="I83" s="232"/>
      <c r="J83" s="232"/>
      <c r="K83" s="232"/>
      <c r="L83" s="232"/>
      <c r="M83" s="232"/>
      <c r="N83" s="232"/>
      <c r="O83" s="232"/>
      <c r="P83" s="232"/>
      <c r="Q83" s="232"/>
      <c r="R83" s="232"/>
      <c r="S83" s="232"/>
      <c r="T83" s="232"/>
      <c r="U83" s="232"/>
      <c r="V83" s="232"/>
      <c r="W83" s="232"/>
      <c r="X83" s="232"/>
      <c r="Y83" s="232"/>
      <c r="Z83" s="232"/>
    </row>
    <row r="84" spans="1:26">
      <c r="A84" s="531" t="s">
        <v>621</v>
      </c>
      <c r="B84" s="573">
        <v>327351.50623559998</v>
      </c>
      <c r="C84" s="573">
        <v>327351.50623559998</v>
      </c>
      <c r="D84" s="573">
        <v>2161929</v>
      </c>
      <c r="E84" s="232"/>
      <c r="F84" s="232"/>
      <c r="G84" s="232"/>
      <c r="H84" s="232"/>
      <c r="I84" s="232"/>
      <c r="J84" s="232"/>
      <c r="K84" s="232"/>
      <c r="L84" s="232"/>
      <c r="M84" s="232"/>
      <c r="N84" s="232"/>
      <c r="O84" s="232"/>
      <c r="P84" s="232"/>
      <c r="Q84" s="232"/>
      <c r="R84" s="232"/>
      <c r="S84" s="232"/>
      <c r="T84" s="232"/>
      <c r="U84" s="232"/>
      <c r="V84" s="232"/>
      <c r="W84" s="232"/>
      <c r="X84" s="232"/>
      <c r="Y84" s="232"/>
      <c r="Z84" s="232"/>
    </row>
    <row r="85" spans="1:26">
      <c r="A85" s="530" t="s">
        <v>625</v>
      </c>
      <c r="B85" s="573">
        <v>1268881.0910627998</v>
      </c>
      <c r="C85" s="573">
        <v>1268881.0910627998</v>
      </c>
      <c r="D85" s="573">
        <v>400773</v>
      </c>
      <c r="E85" s="232"/>
      <c r="F85" s="232"/>
      <c r="G85" s="232"/>
      <c r="H85" s="232"/>
      <c r="I85" s="232"/>
      <c r="J85" s="232"/>
      <c r="K85" s="232"/>
      <c r="L85" s="232"/>
      <c r="M85" s="232"/>
      <c r="N85" s="232"/>
      <c r="O85" s="232"/>
      <c r="P85" s="232"/>
      <c r="Q85" s="232"/>
      <c r="R85" s="232"/>
      <c r="S85" s="232"/>
      <c r="T85" s="232"/>
      <c r="U85" s="232"/>
      <c r="V85" s="232"/>
      <c r="W85" s="232"/>
      <c r="X85" s="232"/>
      <c r="Y85" s="232"/>
      <c r="Z85" s="232"/>
    </row>
    <row r="86" spans="1:26">
      <c r="A86" s="531" t="s">
        <v>621</v>
      </c>
      <c r="B86" s="573">
        <v>1258539.0481099999</v>
      </c>
      <c r="C86" s="573">
        <v>1258539.0481099999</v>
      </c>
      <c r="D86" s="573">
        <v>332471</v>
      </c>
      <c r="E86" s="232"/>
      <c r="F86" s="232"/>
      <c r="G86" s="232"/>
      <c r="H86" s="232"/>
      <c r="I86" s="232"/>
      <c r="J86" s="232"/>
      <c r="K86" s="232"/>
      <c r="L86" s="232"/>
      <c r="M86" s="232"/>
      <c r="N86" s="232"/>
      <c r="O86" s="232"/>
      <c r="P86" s="232"/>
      <c r="Q86" s="232"/>
      <c r="R86" s="232"/>
      <c r="S86" s="232"/>
      <c r="T86" s="232"/>
      <c r="U86" s="232"/>
      <c r="V86" s="232"/>
      <c r="W86" s="232"/>
      <c r="X86" s="232"/>
      <c r="Y86" s="232"/>
      <c r="Z86" s="232"/>
    </row>
    <row r="87" spans="1:26">
      <c r="A87" s="531" t="s">
        <v>623</v>
      </c>
      <c r="B87" s="573">
        <v>10342.0429528</v>
      </c>
      <c r="C87" s="573">
        <v>10342.0429528</v>
      </c>
      <c r="D87" s="573">
        <v>68302</v>
      </c>
      <c r="E87" s="232"/>
      <c r="F87" s="232"/>
      <c r="G87" s="232"/>
      <c r="H87" s="232"/>
      <c r="I87" s="232"/>
      <c r="J87" s="232"/>
      <c r="K87" s="232"/>
      <c r="L87" s="232"/>
      <c r="M87" s="232"/>
      <c r="N87" s="232"/>
      <c r="O87" s="232"/>
      <c r="P87" s="232"/>
      <c r="Q87" s="232"/>
      <c r="R87" s="232"/>
      <c r="S87" s="232"/>
      <c r="T87" s="232"/>
      <c r="U87" s="232"/>
      <c r="V87" s="232"/>
      <c r="W87" s="232"/>
      <c r="X87" s="232"/>
      <c r="Y87" s="232"/>
      <c r="Z87" s="232"/>
    </row>
    <row r="88" spans="1:26">
      <c r="A88" s="530" t="s">
        <v>626</v>
      </c>
      <c r="B88" s="573">
        <v>18237182.961024757</v>
      </c>
      <c r="C88" s="573">
        <v>18237182.961024757</v>
      </c>
      <c r="D88" s="573">
        <v>15876941</v>
      </c>
      <c r="E88" s="232"/>
      <c r="F88" s="232"/>
      <c r="G88" s="232"/>
      <c r="H88" s="232"/>
      <c r="I88" s="232"/>
      <c r="J88" s="232"/>
      <c r="K88" s="232"/>
      <c r="L88" s="232"/>
      <c r="M88" s="232"/>
      <c r="N88" s="232"/>
      <c r="O88" s="232"/>
      <c r="P88" s="232"/>
      <c r="Q88" s="232"/>
      <c r="R88" s="232"/>
      <c r="S88" s="232"/>
      <c r="T88" s="232"/>
      <c r="U88" s="232"/>
      <c r="V88" s="232"/>
      <c r="W88" s="232"/>
      <c r="X88" s="232"/>
      <c r="Y88" s="232"/>
      <c r="Z88" s="232"/>
    </row>
    <row r="89" spans="1:26">
      <c r="A89" s="232"/>
      <c r="B89" s="232"/>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row>
    <row r="90" spans="1:26">
      <c r="A90" s="216" t="s">
        <v>627</v>
      </c>
      <c r="B90" s="77"/>
      <c r="C90" s="77"/>
      <c r="D90" s="77"/>
      <c r="E90" s="77"/>
      <c r="F90" s="77"/>
      <c r="G90" s="77"/>
      <c r="H90" s="77"/>
      <c r="I90" s="77"/>
      <c r="J90" s="77"/>
      <c r="K90" s="77"/>
      <c r="L90" s="77"/>
      <c r="M90" s="232"/>
      <c r="N90" s="232"/>
      <c r="O90" s="232"/>
      <c r="P90" s="232"/>
      <c r="Q90" s="232"/>
      <c r="R90" s="232"/>
      <c r="S90" s="232"/>
      <c r="T90" s="232"/>
      <c r="U90" s="232"/>
      <c r="V90" s="232"/>
      <c r="W90" s="232"/>
      <c r="X90" s="232"/>
      <c r="Y90" s="232"/>
      <c r="Z90" s="232"/>
    </row>
    <row r="91" spans="1:26">
      <c r="A91" s="77" t="s">
        <v>628</v>
      </c>
      <c r="B91" s="77">
        <v>17</v>
      </c>
      <c r="C91" s="77" t="s">
        <v>629</v>
      </c>
      <c r="D91" s="77" t="s">
        <v>630</v>
      </c>
      <c r="E91" s="77"/>
      <c r="F91" s="77"/>
      <c r="G91" s="77"/>
      <c r="H91" s="77"/>
      <c r="I91" s="77"/>
      <c r="J91" s="77"/>
      <c r="K91" s="77"/>
      <c r="L91" s="77"/>
      <c r="M91" s="232"/>
      <c r="N91" s="232"/>
      <c r="O91" s="232"/>
      <c r="P91" s="232"/>
      <c r="Q91" s="232"/>
      <c r="R91" s="232"/>
      <c r="S91" s="232"/>
      <c r="T91" s="232"/>
      <c r="U91" s="232"/>
      <c r="V91" s="232"/>
      <c r="W91" s="232"/>
      <c r="X91" s="232"/>
      <c r="Y91" s="232"/>
      <c r="Z91" s="232"/>
    </row>
    <row r="92" spans="1:26">
      <c r="A92" s="77" t="s">
        <v>631</v>
      </c>
      <c r="B92" s="77">
        <v>0.13</v>
      </c>
      <c r="C92" s="77"/>
      <c r="D92" s="77" t="s">
        <v>630</v>
      </c>
      <c r="E92" s="77" t="s">
        <v>632</v>
      </c>
      <c r="F92" s="77"/>
      <c r="G92" s="77"/>
      <c r="H92" s="77"/>
      <c r="I92" s="77"/>
      <c r="J92" s="77"/>
      <c r="K92" s="77"/>
      <c r="L92" s="77"/>
      <c r="M92" s="232"/>
      <c r="N92" s="232"/>
      <c r="O92" s="232"/>
      <c r="P92" s="232"/>
      <c r="Q92" s="232"/>
      <c r="R92" s="232"/>
      <c r="S92" s="232"/>
      <c r="T92" s="232"/>
      <c r="U92" s="232"/>
      <c r="V92" s="232"/>
      <c r="W92" s="232"/>
      <c r="X92" s="232"/>
      <c r="Y92" s="232"/>
      <c r="Z92" s="232"/>
    </row>
    <row r="93" spans="1:26">
      <c r="A93" s="77" t="s">
        <v>633</v>
      </c>
      <c r="B93" s="77">
        <v>0.1</v>
      </c>
      <c r="C93" s="77"/>
      <c r="D93" s="77" t="s">
        <v>630</v>
      </c>
      <c r="E93" s="77" t="s">
        <v>634</v>
      </c>
      <c r="F93" s="77"/>
      <c r="G93" s="77"/>
      <c r="H93" s="77"/>
      <c r="I93" s="77"/>
      <c r="J93" s="77"/>
      <c r="K93" s="77"/>
      <c r="L93" s="77"/>
      <c r="M93" s="232"/>
      <c r="N93" s="232"/>
      <c r="O93" s="232"/>
      <c r="P93" s="232"/>
      <c r="Q93" s="232"/>
      <c r="R93" s="232"/>
      <c r="S93" s="232"/>
      <c r="T93" s="232"/>
      <c r="U93" s="232"/>
      <c r="V93" s="232"/>
      <c r="W93" s="232"/>
      <c r="X93" s="232"/>
      <c r="Y93" s="232"/>
      <c r="Z93" s="232"/>
    </row>
    <row r="94" spans="1:26">
      <c r="A94" s="77"/>
      <c r="B94" s="77">
        <v>8760</v>
      </c>
      <c r="C94" s="77" t="s">
        <v>635</v>
      </c>
      <c r="D94" s="77"/>
      <c r="E94" s="77"/>
      <c r="F94" s="77"/>
      <c r="G94" s="77"/>
      <c r="H94" s="77"/>
      <c r="I94" s="77"/>
      <c r="J94" s="77"/>
      <c r="K94" s="77"/>
      <c r="L94" s="77"/>
      <c r="M94" s="232"/>
      <c r="N94" s="232"/>
      <c r="O94" s="232"/>
      <c r="P94" s="232"/>
      <c r="Q94" s="232"/>
      <c r="R94" s="232"/>
      <c r="S94" s="232"/>
      <c r="T94" s="232"/>
      <c r="U94" s="232"/>
      <c r="V94" s="232"/>
      <c r="W94" s="232"/>
      <c r="X94" s="232"/>
      <c r="Y94" s="232"/>
      <c r="Z94" s="232"/>
    </row>
    <row r="95" spans="1:26">
      <c r="A95" s="77"/>
      <c r="B95" s="77">
        <v>3.4119999999999999</v>
      </c>
      <c r="C95" s="77" t="s">
        <v>636</v>
      </c>
      <c r="D95" s="77"/>
      <c r="E95" s="77"/>
      <c r="F95" s="77"/>
      <c r="G95" s="77"/>
      <c r="H95" s="77"/>
      <c r="I95" s="77"/>
      <c r="J95" s="77"/>
      <c r="K95" s="77"/>
      <c r="L95" s="77"/>
      <c r="M95" s="232"/>
      <c r="N95" s="232"/>
      <c r="O95" s="232"/>
      <c r="P95" s="232"/>
      <c r="Q95" s="232"/>
      <c r="R95" s="232"/>
      <c r="S95" s="232"/>
      <c r="T95" s="232"/>
      <c r="U95" s="232"/>
      <c r="V95" s="232"/>
      <c r="W95" s="232"/>
      <c r="X95" s="232"/>
      <c r="Y95" s="232"/>
      <c r="Z95" s="232"/>
    </row>
    <row r="96" spans="1:26">
      <c r="A96" s="77"/>
      <c r="B96" s="77"/>
      <c r="C96" s="77"/>
      <c r="D96" s="77"/>
      <c r="E96" s="77"/>
      <c r="F96" s="77"/>
      <c r="G96" s="77"/>
      <c r="H96" s="77"/>
      <c r="I96" s="77"/>
      <c r="J96" s="77"/>
      <c r="K96" s="77"/>
      <c r="L96" s="77"/>
      <c r="M96" s="232"/>
      <c r="N96" s="232"/>
      <c r="O96" s="232"/>
      <c r="P96" s="232"/>
      <c r="Q96" s="232"/>
      <c r="R96" s="232"/>
      <c r="S96" s="232"/>
      <c r="T96" s="232"/>
      <c r="U96" s="232"/>
      <c r="V96" s="232"/>
      <c r="W96" s="232"/>
      <c r="X96" s="232"/>
      <c r="Y96" s="232"/>
      <c r="Z96" s="232"/>
    </row>
    <row r="97" spans="1:26">
      <c r="A97" s="521" t="s">
        <v>637</v>
      </c>
      <c r="B97" s="538">
        <f>B91*B92*B93*B94*B95</f>
        <v>6605.4955200000004</v>
      </c>
      <c r="C97" s="77" t="s">
        <v>338</v>
      </c>
      <c r="D97" s="77"/>
      <c r="E97" s="77"/>
      <c r="F97" s="77"/>
      <c r="G97" s="77"/>
      <c r="H97" s="77"/>
      <c r="I97" s="77"/>
      <c r="J97" s="77"/>
      <c r="K97" s="77"/>
      <c r="L97" s="77"/>
      <c r="M97" s="232"/>
      <c r="N97" s="232"/>
      <c r="O97" s="232"/>
      <c r="P97" s="232"/>
      <c r="Q97" s="232"/>
      <c r="R97" s="232"/>
      <c r="S97" s="232"/>
      <c r="T97" s="232"/>
      <c r="U97" s="232"/>
      <c r="V97" s="232"/>
      <c r="W97" s="232"/>
      <c r="X97" s="232"/>
      <c r="Y97" s="232"/>
      <c r="Z97" s="232"/>
    </row>
    <row r="98" spans="1:26">
      <c r="A98" s="77"/>
      <c r="B98" s="538">
        <f>B97*1.055056</f>
        <v>6969.1676813491204</v>
      </c>
      <c r="C98" s="77" t="s">
        <v>40</v>
      </c>
      <c r="D98" s="77"/>
      <c r="E98" s="77"/>
      <c r="F98" s="77"/>
      <c r="G98" s="77"/>
      <c r="H98" s="77"/>
      <c r="I98" s="77"/>
      <c r="J98" s="77"/>
      <c r="K98" s="77"/>
      <c r="L98" s="77"/>
      <c r="M98" s="232"/>
      <c r="N98" s="232"/>
      <c r="O98" s="232"/>
      <c r="P98" s="232"/>
      <c r="Q98" s="232"/>
      <c r="R98" s="232"/>
      <c r="S98" s="232"/>
      <c r="T98" s="232"/>
      <c r="U98" s="232"/>
      <c r="V98" s="232"/>
      <c r="W98" s="232"/>
      <c r="X98" s="232"/>
      <c r="Y98" s="232"/>
      <c r="Z98" s="232"/>
    </row>
    <row r="99" spans="1:26">
      <c r="A99" s="521" t="s">
        <v>638</v>
      </c>
      <c r="B99" s="538">
        <f>B91*B92*B94*B95*1.055056</f>
        <v>69691.676813491198</v>
      </c>
      <c r="C99" s="77" t="s">
        <v>40</v>
      </c>
      <c r="D99" s="77"/>
      <c r="E99" s="77"/>
      <c r="F99" s="77"/>
      <c r="G99" s="77"/>
      <c r="H99" s="77"/>
      <c r="I99" s="77"/>
      <c r="J99" s="77"/>
      <c r="K99" s="77"/>
      <c r="L99" s="77"/>
      <c r="M99" s="232"/>
      <c r="N99" s="232"/>
      <c r="O99" s="232"/>
      <c r="P99" s="232"/>
      <c r="Q99" s="232"/>
      <c r="R99" s="232"/>
      <c r="S99" s="232"/>
      <c r="T99" s="232"/>
      <c r="U99" s="232"/>
      <c r="V99" s="232"/>
      <c r="W99" s="232"/>
      <c r="X99" s="232"/>
      <c r="Y99" s="232"/>
      <c r="Z99" s="232"/>
    </row>
    <row r="100" spans="1:26">
      <c r="A100" s="77"/>
      <c r="B100" s="77"/>
      <c r="C100" s="77"/>
      <c r="D100" s="77"/>
      <c r="E100" s="77"/>
      <c r="F100" s="77"/>
      <c r="G100" s="77"/>
      <c r="H100" s="77"/>
      <c r="I100" s="77"/>
      <c r="J100" s="77"/>
      <c r="K100" s="77"/>
      <c r="L100" s="77"/>
      <c r="M100" s="232"/>
      <c r="N100" s="232"/>
      <c r="O100" s="232"/>
      <c r="P100" s="232"/>
      <c r="Q100" s="232"/>
      <c r="R100" s="232"/>
      <c r="S100" s="232"/>
      <c r="T100" s="232"/>
      <c r="U100" s="232"/>
      <c r="V100" s="232"/>
      <c r="W100" s="232"/>
      <c r="X100" s="232"/>
      <c r="Y100" s="232"/>
      <c r="Z100" s="232"/>
    </row>
    <row r="101" spans="1:26">
      <c r="A101" s="216" t="s">
        <v>639</v>
      </c>
      <c r="B101" s="77"/>
      <c r="C101" s="77"/>
      <c r="D101" s="77"/>
      <c r="E101" s="77"/>
      <c r="F101" s="77"/>
      <c r="G101" s="77"/>
      <c r="H101" s="77"/>
      <c r="I101" s="77"/>
      <c r="J101" s="77"/>
      <c r="K101" s="77"/>
      <c r="L101" s="77"/>
      <c r="M101" s="232"/>
      <c r="N101" s="232"/>
      <c r="O101" s="232"/>
      <c r="P101" s="232"/>
      <c r="Q101" s="232"/>
      <c r="R101" s="232"/>
      <c r="S101" s="232"/>
      <c r="T101" s="232"/>
      <c r="U101" s="232"/>
      <c r="V101" s="232"/>
      <c r="W101" s="232"/>
      <c r="X101" s="232"/>
      <c r="Y101" s="232"/>
      <c r="Z101" s="232"/>
    </row>
    <row r="102" spans="1:26">
      <c r="A102" s="77" t="s">
        <v>640</v>
      </c>
      <c r="B102" s="77">
        <v>1.5</v>
      </c>
      <c r="C102" s="77" t="s">
        <v>641</v>
      </c>
      <c r="D102" s="77" t="s">
        <v>642</v>
      </c>
      <c r="E102" s="77"/>
      <c r="F102" s="77"/>
      <c r="G102" s="77"/>
      <c r="H102" s="77"/>
      <c r="I102" s="77"/>
      <c r="J102" s="77"/>
      <c r="K102" s="77"/>
      <c r="L102" s="77"/>
      <c r="M102" s="232"/>
      <c r="N102" s="232"/>
      <c r="O102" s="232"/>
      <c r="P102" s="232"/>
      <c r="Q102" s="232"/>
      <c r="R102" s="232"/>
      <c r="S102" s="232"/>
      <c r="T102" s="232"/>
      <c r="U102" s="232"/>
      <c r="V102" s="232"/>
      <c r="W102" s="232"/>
      <c r="X102" s="232"/>
      <c r="Y102" s="232"/>
      <c r="Z102" s="232"/>
    </row>
    <row r="103" spans="1:26">
      <c r="A103" s="77"/>
      <c r="B103" s="77">
        <v>288000</v>
      </c>
      <c r="C103" s="77" t="s">
        <v>643</v>
      </c>
      <c r="D103" s="77"/>
      <c r="E103" s="77"/>
      <c r="F103" s="77"/>
      <c r="G103" s="77"/>
      <c r="H103" s="77"/>
      <c r="I103" s="77"/>
      <c r="J103" s="77"/>
      <c r="K103" s="77"/>
      <c r="L103" s="77"/>
      <c r="M103" s="232"/>
      <c r="N103" s="232"/>
      <c r="O103" s="232"/>
      <c r="P103" s="232"/>
      <c r="Q103" s="232"/>
      <c r="R103" s="232"/>
      <c r="S103" s="232"/>
      <c r="T103" s="232"/>
      <c r="U103" s="232"/>
      <c r="V103" s="232"/>
      <c r="W103" s="232"/>
      <c r="X103" s="232"/>
      <c r="Y103" s="232"/>
      <c r="Z103" s="232"/>
    </row>
    <row r="104" spans="1:26">
      <c r="A104" s="77"/>
      <c r="B104" s="77">
        <v>60</v>
      </c>
      <c r="C104" s="77" t="s">
        <v>644</v>
      </c>
      <c r="D104" s="77"/>
      <c r="E104" s="77"/>
      <c r="F104" s="77"/>
      <c r="G104" s="77"/>
      <c r="H104" s="77"/>
      <c r="I104" s="77"/>
      <c r="J104" s="77"/>
      <c r="K104" s="77"/>
      <c r="L104" s="77"/>
      <c r="M104" s="232"/>
      <c r="N104" s="232"/>
      <c r="O104" s="232"/>
      <c r="P104" s="232"/>
      <c r="Q104" s="232"/>
      <c r="R104" s="232"/>
      <c r="S104" s="232"/>
      <c r="T104" s="232"/>
      <c r="U104" s="232"/>
      <c r="V104" s="232"/>
      <c r="W104" s="232"/>
      <c r="X104" s="232"/>
      <c r="Y104" s="232"/>
      <c r="Z104" s="232"/>
    </row>
    <row r="105" spans="1:26">
      <c r="A105" s="77"/>
      <c r="B105" s="77">
        <v>24</v>
      </c>
      <c r="C105" s="77" t="s">
        <v>645</v>
      </c>
      <c r="D105" s="77"/>
      <c r="E105" s="77"/>
      <c r="F105" s="77"/>
      <c r="G105" s="77"/>
      <c r="H105" s="77"/>
      <c r="I105" s="77"/>
      <c r="J105" s="77"/>
      <c r="K105" s="77"/>
      <c r="L105" s="77"/>
      <c r="M105" s="232"/>
      <c r="N105" s="232"/>
      <c r="O105" s="232"/>
      <c r="P105" s="232"/>
      <c r="Q105" s="232"/>
      <c r="R105" s="232"/>
      <c r="S105" s="232"/>
      <c r="T105" s="232"/>
      <c r="U105" s="232"/>
      <c r="V105" s="232"/>
      <c r="W105" s="232"/>
      <c r="X105" s="232"/>
      <c r="Y105" s="232"/>
      <c r="Z105" s="232"/>
    </row>
    <row r="106" spans="1:26">
      <c r="A106" s="77"/>
      <c r="B106" s="77"/>
      <c r="C106" s="77"/>
      <c r="D106" s="77"/>
      <c r="E106" s="77"/>
      <c r="F106" s="77"/>
      <c r="G106" s="77"/>
      <c r="H106" s="77"/>
      <c r="I106" s="77"/>
      <c r="J106" s="77"/>
      <c r="K106" s="77"/>
      <c r="L106" s="77"/>
      <c r="M106" s="232"/>
      <c r="N106" s="232"/>
      <c r="O106" s="232"/>
      <c r="P106" s="232"/>
      <c r="Q106" s="232"/>
      <c r="R106" s="232"/>
      <c r="S106" s="232"/>
      <c r="T106" s="232"/>
      <c r="U106" s="232"/>
      <c r="V106" s="232"/>
      <c r="W106" s="232"/>
      <c r="X106" s="232"/>
      <c r="Y106" s="232"/>
      <c r="Z106" s="232"/>
    </row>
    <row r="107" spans="1:26">
      <c r="A107" s="521" t="s">
        <v>646</v>
      </c>
      <c r="B107" s="77">
        <f>B102*B104*B105/(B103/1000000)</f>
        <v>7500.0000000000009</v>
      </c>
      <c r="C107" s="77" t="s">
        <v>647</v>
      </c>
      <c r="D107" s="77"/>
      <c r="E107" s="77"/>
      <c r="F107" s="77"/>
      <c r="G107" s="77"/>
      <c r="H107" s="77"/>
      <c r="I107" s="77"/>
      <c r="J107" s="77"/>
      <c r="K107" s="77"/>
      <c r="L107" s="77"/>
      <c r="M107" s="232"/>
      <c r="N107" s="232"/>
      <c r="O107" s="232"/>
      <c r="P107" s="232"/>
      <c r="Q107" s="232"/>
      <c r="R107" s="232"/>
      <c r="S107" s="232"/>
      <c r="T107" s="232"/>
      <c r="U107" s="232"/>
      <c r="V107" s="232"/>
      <c r="W107" s="232"/>
      <c r="X107" s="232"/>
      <c r="Y107" s="232"/>
      <c r="Z107" s="232"/>
    </row>
    <row r="108" spans="1:26">
      <c r="A108" s="77"/>
      <c r="B108" s="538">
        <f>B107*0.00378541/(1.055056)</f>
        <v>26.909069281630551</v>
      </c>
      <c r="C108" s="77" t="s">
        <v>268</v>
      </c>
      <c r="D108" s="77" t="s">
        <v>648</v>
      </c>
      <c r="E108" s="77"/>
      <c r="F108" s="77"/>
      <c r="G108" s="77"/>
      <c r="H108" s="77"/>
      <c r="I108" s="77"/>
      <c r="J108" s="77"/>
      <c r="K108" s="77"/>
      <c r="L108" s="77"/>
      <c r="M108" s="232"/>
      <c r="N108" s="232"/>
      <c r="O108" s="232"/>
      <c r="P108" s="232"/>
      <c r="Q108" s="232"/>
      <c r="R108" s="232"/>
      <c r="S108" s="232"/>
      <c r="T108" s="232"/>
      <c r="U108" s="232"/>
      <c r="V108" s="232"/>
      <c r="W108" s="232"/>
      <c r="X108" s="232"/>
      <c r="Y108" s="232"/>
      <c r="Z108" s="232"/>
    </row>
    <row r="109" spans="1:26">
      <c r="A109" s="77"/>
      <c r="B109" s="77"/>
      <c r="C109" s="77"/>
      <c r="D109" s="77" t="s">
        <v>649</v>
      </c>
      <c r="E109" s="77"/>
      <c r="F109" s="77"/>
      <c r="G109" s="77"/>
      <c r="H109" s="77"/>
      <c r="I109" s="77"/>
      <c r="J109" s="77"/>
      <c r="K109" s="77"/>
      <c r="L109" s="77"/>
      <c r="M109" s="232"/>
      <c r="N109" s="232"/>
      <c r="O109" s="232"/>
      <c r="P109" s="232"/>
      <c r="Q109" s="232"/>
      <c r="R109" s="232"/>
      <c r="S109" s="232"/>
      <c r="T109" s="232"/>
      <c r="U109" s="232"/>
      <c r="V109" s="232"/>
      <c r="W109" s="232"/>
      <c r="X109" s="232"/>
      <c r="Y109" s="232"/>
      <c r="Z109" s="232"/>
    </row>
    <row r="110" spans="1:26">
      <c r="A110" s="77"/>
      <c r="B110" s="77"/>
      <c r="C110" s="77"/>
      <c r="D110" s="77"/>
      <c r="E110" s="77"/>
      <c r="F110" s="77"/>
      <c r="G110" s="77"/>
      <c r="H110" s="77"/>
      <c r="I110" s="77"/>
      <c r="J110" s="77"/>
      <c r="K110" s="77"/>
      <c r="L110" s="77"/>
      <c r="M110" s="232"/>
      <c r="N110" s="232"/>
      <c r="O110" s="232"/>
      <c r="P110" s="232"/>
      <c r="Q110" s="232"/>
      <c r="R110" s="232"/>
      <c r="S110" s="232"/>
      <c r="T110" s="232"/>
      <c r="U110" s="232"/>
      <c r="V110" s="232"/>
      <c r="W110" s="232"/>
      <c r="X110" s="232"/>
      <c r="Y110" s="232"/>
      <c r="Z110" s="232"/>
    </row>
    <row r="111" spans="1:26">
      <c r="A111" s="77"/>
      <c r="B111" s="77"/>
      <c r="C111" s="77"/>
      <c r="D111" s="77"/>
      <c r="E111" s="77"/>
      <c r="F111" s="77"/>
      <c r="G111" s="77"/>
      <c r="H111" s="77"/>
      <c r="I111" s="77"/>
      <c r="J111" s="77"/>
      <c r="K111" s="77"/>
      <c r="L111" s="77"/>
      <c r="M111" s="232"/>
      <c r="N111" s="232"/>
      <c r="O111" s="232"/>
      <c r="P111" s="232"/>
      <c r="Q111" s="232"/>
      <c r="R111" s="232"/>
      <c r="S111" s="232"/>
      <c r="T111" s="232"/>
      <c r="U111" s="232"/>
      <c r="V111" s="232"/>
      <c r="W111" s="232"/>
      <c r="X111" s="232"/>
      <c r="Y111" s="232"/>
      <c r="Z111" s="232"/>
    </row>
    <row r="112" spans="1:26">
      <c r="A112" s="216" t="s">
        <v>650</v>
      </c>
      <c r="B112" s="538">
        <f>B108*B98</f>
        <v>187533.81597272403</v>
      </c>
      <c r="C112" s="77" t="s">
        <v>70</v>
      </c>
      <c r="D112" s="77" t="s">
        <v>253</v>
      </c>
      <c r="E112" s="77" t="s">
        <v>267</v>
      </c>
      <c r="F112" s="77" t="s">
        <v>651</v>
      </c>
      <c r="G112" s="77" t="s">
        <v>652</v>
      </c>
      <c r="H112" s="77"/>
      <c r="I112" s="77"/>
      <c r="J112" s="77"/>
      <c r="K112" s="77"/>
      <c r="L112" s="77"/>
      <c r="M112" s="232"/>
      <c r="N112" s="232"/>
      <c r="O112" s="232"/>
      <c r="P112" s="232"/>
      <c r="Q112" s="232"/>
      <c r="R112" s="232"/>
      <c r="S112" s="232"/>
      <c r="T112" s="232"/>
      <c r="U112" s="232"/>
      <c r="V112" s="232"/>
      <c r="W112" s="232"/>
      <c r="X112" s="232"/>
      <c r="Y112" s="232"/>
      <c r="Z112" s="232"/>
    </row>
    <row r="113" spans="1:26">
      <c r="A113" s="77"/>
      <c r="B113" s="77"/>
      <c r="C113" s="77" t="s">
        <v>70</v>
      </c>
      <c r="D113" s="77" t="s">
        <v>226</v>
      </c>
      <c r="E113" s="77" t="s">
        <v>267</v>
      </c>
      <c r="F113" s="77"/>
      <c r="G113" s="77"/>
      <c r="H113" s="77"/>
      <c r="I113" s="77"/>
      <c r="J113" s="77"/>
      <c r="K113" s="77"/>
      <c r="L113" s="77"/>
      <c r="M113" s="232"/>
      <c r="N113" s="232"/>
      <c r="O113" s="232"/>
      <c r="P113" s="232"/>
      <c r="Q113" s="232"/>
      <c r="R113" s="232"/>
      <c r="S113" s="232"/>
      <c r="T113" s="232"/>
      <c r="U113" s="232"/>
      <c r="V113" s="232"/>
      <c r="W113" s="232"/>
      <c r="X113" s="232"/>
      <c r="Y113" s="232"/>
      <c r="Z113" s="232"/>
    </row>
    <row r="114" spans="1:26">
      <c r="A114" s="77"/>
      <c r="B114" s="559">
        <f>B112/B99</f>
        <v>2.6909069281630553</v>
      </c>
      <c r="C114" s="77" t="s">
        <v>268</v>
      </c>
      <c r="D114" s="77" t="s">
        <v>653</v>
      </c>
      <c r="E114" s="77"/>
      <c r="F114" s="77"/>
      <c r="G114" s="77"/>
      <c r="H114" s="77"/>
      <c r="I114" s="77"/>
      <c r="J114" s="77"/>
      <c r="K114" s="77"/>
      <c r="L114" s="77"/>
      <c r="M114" s="232"/>
      <c r="N114" s="232"/>
      <c r="O114" s="232"/>
      <c r="P114" s="232"/>
      <c r="Q114" s="232"/>
      <c r="R114" s="232"/>
      <c r="S114" s="232"/>
      <c r="T114" s="232"/>
      <c r="U114" s="232"/>
      <c r="V114" s="232"/>
      <c r="W114" s="232"/>
      <c r="X114" s="232"/>
      <c r="Y114" s="232"/>
      <c r="Z114" s="232"/>
    </row>
  </sheetData>
  <sheetProtection sheet="1" objects="1" scenarios="1" formatCells="0" formatColumns="0" formatRows="0" sort="0" autoFilter="0" pivotTables="0"/>
  <autoFilter ref="A4:N4" xr:uid="{00000000-0009-0000-0000-000025000000}"/>
  <mergeCells count="2">
    <mergeCell ref="G3:H3"/>
    <mergeCell ref="J3:K3"/>
  </mergeCells>
  <phoneticPr fontId="55" type="noConversion"/>
  <pageMargins left="0.75" right="0.75" top="1" bottom="1" header="0.5" footer="0.5"/>
  <pageSetup paperSize="3" scale="41" orientation="landscape" horizontalDpi="4294967292" verticalDpi="4294967292"/>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499984740745262"/>
    <pageSetUpPr fitToPage="1"/>
  </sheetPr>
  <dimension ref="A1:AY294"/>
  <sheetViews>
    <sheetView workbookViewId="0"/>
  </sheetViews>
  <sheetFormatPr baseColWidth="10" defaultColWidth="13.83203125" defaultRowHeight="13"/>
  <cols>
    <col min="1" max="1" width="2.83203125" style="42" customWidth="1"/>
    <col min="2" max="3" width="13.83203125" style="41"/>
    <col min="4" max="4" width="13.83203125" style="41" customWidth="1"/>
    <col min="5" max="11" width="13.83203125" style="41"/>
    <col min="12" max="12" width="16.6640625" style="41" customWidth="1"/>
    <col min="13" max="19" width="13.83203125" style="41"/>
    <col min="20" max="20" width="2.83203125" style="42" customWidth="1"/>
    <col min="21" max="16384" width="13.83203125" style="42"/>
  </cols>
  <sheetData>
    <row r="1" spans="1:51" ht="17" customHeight="1" thickBot="1">
      <c r="A1" s="174"/>
      <c r="B1" s="174"/>
      <c r="C1" s="174"/>
      <c r="D1" s="174"/>
      <c r="E1" s="174"/>
      <c r="F1" s="174"/>
      <c r="G1" s="174"/>
      <c r="H1" s="174"/>
      <c r="I1" s="174"/>
      <c r="J1" s="174"/>
      <c r="K1" s="174"/>
      <c r="L1" s="174"/>
      <c r="M1" s="174"/>
      <c r="N1" s="174"/>
      <c r="O1" s="174"/>
      <c r="P1" s="174"/>
      <c r="Q1" s="174"/>
      <c r="R1" s="174"/>
      <c r="S1" s="174"/>
      <c r="T1" s="174"/>
    </row>
    <row r="2" spans="1:51" s="38" customFormat="1" ht="30" customHeight="1">
      <c r="A2" s="175"/>
      <c r="B2" s="749" t="s">
        <v>93</v>
      </c>
      <c r="C2" s="750"/>
      <c r="D2" s="750"/>
      <c r="E2" s="750"/>
      <c r="F2" s="750"/>
      <c r="G2" s="750"/>
      <c r="H2" s="750"/>
      <c r="I2" s="750"/>
      <c r="J2" s="750"/>
      <c r="K2" s="750"/>
      <c r="L2" s="750"/>
      <c r="M2" s="750"/>
      <c r="N2" s="750"/>
      <c r="O2" s="750"/>
      <c r="P2" s="750"/>
      <c r="Q2" s="750"/>
      <c r="R2" s="750"/>
      <c r="S2" s="751"/>
      <c r="T2" s="175"/>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c r="AU2" s="780"/>
      <c r="AV2" s="780"/>
      <c r="AW2" s="780"/>
      <c r="AX2" s="780"/>
      <c r="AY2" s="780"/>
    </row>
    <row r="3" spans="1:51" s="38" customFormat="1" ht="20" customHeight="1" thickBot="1">
      <c r="A3" s="175"/>
      <c r="B3" s="752" t="s">
        <v>14</v>
      </c>
      <c r="C3" s="753"/>
      <c r="D3" s="753"/>
      <c r="E3" s="753"/>
      <c r="F3" s="753"/>
      <c r="G3" s="753"/>
      <c r="H3" s="753"/>
      <c r="I3" s="753"/>
      <c r="J3" s="753"/>
      <c r="K3" s="753"/>
      <c r="L3" s="753"/>
      <c r="M3" s="753"/>
      <c r="N3" s="753"/>
      <c r="O3" s="753"/>
      <c r="P3" s="753"/>
      <c r="Q3" s="753"/>
      <c r="R3" s="753"/>
      <c r="S3" s="754"/>
      <c r="T3" s="175"/>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row>
    <row r="4" spans="1:51" s="11" customFormat="1" ht="14" customHeight="1">
      <c r="A4" s="77"/>
      <c r="B4" s="755" t="s">
        <v>32</v>
      </c>
      <c r="C4" s="120"/>
      <c r="D4" s="120"/>
      <c r="E4" s="757" t="s">
        <v>591</v>
      </c>
      <c r="F4" s="758"/>
      <c r="G4" s="756" t="s">
        <v>66</v>
      </c>
      <c r="H4" s="756"/>
      <c r="I4" s="742" t="s">
        <v>67</v>
      </c>
      <c r="J4" s="742"/>
      <c r="K4" s="743" t="s">
        <v>68</v>
      </c>
      <c r="L4" s="743"/>
      <c r="M4" s="744" t="s">
        <v>69</v>
      </c>
      <c r="N4" s="744"/>
      <c r="O4" s="745" t="s">
        <v>413</v>
      </c>
      <c r="P4" s="745"/>
      <c r="Q4" s="121" t="s">
        <v>48</v>
      </c>
      <c r="R4" s="467" t="s">
        <v>48</v>
      </c>
      <c r="S4" s="123" t="s">
        <v>48</v>
      </c>
      <c r="T4" s="77"/>
    </row>
    <row r="5" spans="1:51" s="11" customFormat="1" ht="14" customHeight="1">
      <c r="A5" s="77"/>
      <c r="B5" s="755"/>
      <c r="C5" s="120"/>
      <c r="D5" s="120"/>
      <c r="E5" s="469" t="s">
        <v>209</v>
      </c>
      <c r="F5" s="414" t="s">
        <v>208</v>
      </c>
      <c r="G5" s="414" t="s">
        <v>209</v>
      </c>
      <c r="H5" s="414" t="s">
        <v>208</v>
      </c>
      <c r="I5" s="414" t="s">
        <v>209</v>
      </c>
      <c r="J5" s="414" t="s">
        <v>208</v>
      </c>
      <c r="K5" s="414" t="s">
        <v>209</v>
      </c>
      <c r="L5" s="414" t="s">
        <v>208</v>
      </c>
      <c r="M5" s="414" t="s">
        <v>209</v>
      </c>
      <c r="N5" s="414" t="s">
        <v>208</v>
      </c>
      <c r="O5" s="414" t="s">
        <v>209</v>
      </c>
      <c r="P5" s="414" t="s">
        <v>208</v>
      </c>
      <c r="Q5" s="121" t="s">
        <v>209</v>
      </c>
      <c r="R5" s="468" t="s">
        <v>208</v>
      </c>
      <c r="S5" s="123" t="s">
        <v>413</v>
      </c>
      <c r="T5" s="77"/>
    </row>
    <row r="6" spans="1:51" s="39" customFormat="1" ht="28" customHeight="1">
      <c r="A6" s="176"/>
      <c r="B6" s="755"/>
      <c r="C6" s="124" t="s">
        <v>761</v>
      </c>
      <c r="D6" s="125" t="s">
        <v>762</v>
      </c>
      <c r="E6" s="126">
        <f t="shared" ref="E6:S6" si="0">SUM(E7:E18)</f>
        <v>10335405494.064352</v>
      </c>
      <c r="F6" s="126">
        <f t="shared" si="0"/>
        <v>13489543125.872816</v>
      </c>
      <c r="G6" s="126">
        <f t="shared" si="0"/>
        <v>127825520.05534494</v>
      </c>
      <c r="H6" s="126">
        <f t="shared" si="0"/>
        <v>838575819.22181892</v>
      </c>
      <c r="I6" s="126">
        <f t="shared" si="0"/>
        <v>234096559.62936074</v>
      </c>
      <c r="J6" s="126">
        <f t="shared" si="0"/>
        <v>242918641.61347964</v>
      </c>
      <c r="K6" s="126">
        <f t="shared" si="0"/>
        <v>5317639485.0019302</v>
      </c>
      <c r="L6" s="126">
        <f t="shared" si="0"/>
        <v>204962682159.40186</v>
      </c>
      <c r="M6" s="126">
        <f t="shared" si="0"/>
        <v>372470239.06453657</v>
      </c>
      <c r="N6" s="126">
        <f t="shared" si="0"/>
        <v>77284897.839027971</v>
      </c>
      <c r="O6" s="126">
        <f t="shared" si="0"/>
        <v>-2767634429.9675379</v>
      </c>
      <c r="P6" s="126">
        <f t="shared" si="0"/>
        <v>-2767634429.9675379</v>
      </c>
      <c r="Q6" s="79">
        <f t="shared" si="0"/>
        <v>16387437297.815525</v>
      </c>
      <c r="R6" s="127">
        <f t="shared" si="0"/>
        <v>219611004643.94894</v>
      </c>
      <c r="S6" s="128">
        <f t="shared" si="0"/>
        <v>-2767634429.9675379</v>
      </c>
      <c r="T6" s="176"/>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s="43" customFormat="1" ht="14" customHeight="1">
      <c r="A7" s="72"/>
      <c r="B7" s="755"/>
      <c r="C7" s="142" t="s">
        <v>9</v>
      </c>
      <c r="D7" s="143" t="s">
        <v>0</v>
      </c>
      <c r="E7" s="470">
        <f t="shared" ref="E7:P7" si="1">SUM(E23,E39,E55,E71,E87,E103,E119,E135,E151,E167,E183,E199,E215,E231,E247,E263,E279)</f>
        <v>4919031381.9335213</v>
      </c>
      <c r="F7" s="131">
        <f t="shared" si="1"/>
        <v>5848987362.6233921</v>
      </c>
      <c r="G7" s="131">
        <f t="shared" si="1"/>
        <v>47986925.789455369</v>
      </c>
      <c r="H7" s="131">
        <f t="shared" si="1"/>
        <v>297580360.90030503</v>
      </c>
      <c r="I7" s="131">
        <f t="shared" si="1"/>
        <v>22617797.39650315</v>
      </c>
      <c r="J7" s="131">
        <f t="shared" si="1"/>
        <v>26145799.516503152</v>
      </c>
      <c r="K7" s="131">
        <f t="shared" si="1"/>
        <v>903773715.34765255</v>
      </c>
      <c r="L7" s="131">
        <f t="shared" si="1"/>
        <v>1154157784.3394737</v>
      </c>
      <c r="M7" s="131">
        <f t="shared" si="1"/>
        <v>24794969.17728081</v>
      </c>
      <c r="N7" s="131">
        <f t="shared" si="1"/>
        <v>196753.56414706027</v>
      </c>
      <c r="O7" s="131">
        <f t="shared" si="1"/>
        <v>0</v>
      </c>
      <c r="P7" s="131">
        <f t="shared" si="1"/>
        <v>0</v>
      </c>
      <c r="Q7" s="78">
        <f t="shared" ref="Q7:Q18" si="2">SUM(E7,G7,I7,K7,M7)</f>
        <v>5918204789.644413</v>
      </c>
      <c r="R7" s="132">
        <f t="shared" ref="R7:R18" si="3">SUM(F7,H7,J7,L7,N7)</f>
        <v>7327068060.943821</v>
      </c>
      <c r="S7" s="133">
        <f t="shared" ref="S7:S18" si="4">P7</f>
        <v>0</v>
      </c>
      <c r="T7" s="72"/>
    </row>
    <row r="8" spans="1:51" s="43" customFormat="1" ht="14" customHeight="1">
      <c r="A8" s="72"/>
      <c r="B8" s="755"/>
      <c r="C8" s="142" t="s">
        <v>9</v>
      </c>
      <c r="D8" s="134" t="s">
        <v>7</v>
      </c>
      <c r="E8" s="471">
        <f t="shared" ref="E8:P8" si="5">SUM(E24,E40,E56,E72,E88,E104,E120,E136,E152,E168,E184,E200,E216,E232,E248,E264,E280)</f>
        <v>291086946.0076108</v>
      </c>
      <c r="F8" s="131">
        <f t="shared" si="5"/>
        <v>525083056.62093842</v>
      </c>
      <c r="G8" s="131">
        <f t="shared" si="5"/>
        <v>1172240.1364509028</v>
      </c>
      <c r="H8" s="131">
        <f t="shared" si="5"/>
        <v>1121610.4721877766</v>
      </c>
      <c r="I8" s="131">
        <f t="shared" si="5"/>
        <v>0</v>
      </c>
      <c r="J8" s="131">
        <f t="shared" si="5"/>
        <v>0</v>
      </c>
      <c r="K8" s="131">
        <f t="shared" si="5"/>
        <v>3814490.3787457338</v>
      </c>
      <c r="L8" s="131">
        <f t="shared" si="5"/>
        <v>5174769.6405357905</v>
      </c>
      <c r="M8" s="131">
        <f t="shared" si="5"/>
        <v>820045.96592743974</v>
      </c>
      <c r="N8" s="131">
        <f t="shared" si="5"/>
        <v>0</v>
      </c>
      <c r="O8" s="131">
        <f t="shared" si="5"/>
        <v>0</v>
      </c>
      <c r="P8" s="131">
        <f t="shared" si="5"/>
        <v>0</v>
      </c>
      <c r="Q8" s="78">
        <f t="shared" si="2"/>
        <v>296893722.48873484</v>
      </c>
      <c r="R8" s="132">
        <f t="shared" si="3"/>
        <v>531379436.73366195</v>
      </c>
      <c r="S8" s="133">
        <f t="shared" si="4"/>
        <v>0</v>
      </c>
      <c r="T8" s="72"/>
    </row>
    <row r="9" spans="1:51" s="43" customFormat="1" ht="14" customHeight="1">
      <c r="A9" s="72"/>
      <c r="B9" s="755"/>
      <c r="C9" s="142" t="s">
        <v>9</v>
      </c>
      <c r="D9" s="135" t="s">
        <v>1</v>
      </c>
      <c r="E9" s="471">
        <f t="shared" ref="E9:P9" si="6">SUM(E25,E41,E57,E73,E89,E105,E121,E137,E153,E169,E185,E201,E217,E233,E249,E265,E281)</f>
        <v>490332226.22919172</v>
      </c>
      <c r="F9" s="131">
        <f t="shared" si="6"/>
        <v>947300309.81156421</v>
      </c>
      <c r="G9" s="131">
        <f t="shared" si="6"/>
        <v>505440.20135076391</v>
      </c>
      <c r="H9" s="131">
        <f t="shared" si="6"/>
        <v>744980.55604009225</v>
      </c>
      <c r="I9" s="131">
        <f t="shared" si="6"/>
        <v>0</v>
      </c>
      <c r="J9" s="131">
        <f t="shared" si="6"/>
        <v>0</v>
      </c>
      <c r="K9" s="131">
        <f t="shared" si="6"/>
        <v>6167062.6384475138</v>
      </c>
      <c r="L9" s="131">
        <f t="shared" si="6"/>
        <v>7033848.9703738531</v>
      </c>
      <c r="M9" s="131">
        <f t="shared" si="6"/>
        <v>0</v>
      </c>
      <c r="N9" s="131">
        <f t="shared" si="6"/>
        <v>0</v>
      </c>
      <c r="O9" s="131">
        <f t="shared" si="6"/>
        <v>0</v>
      </c>
      <c r="P9" s="131">
        <f t="shared" si="6"/>
        <v>0</v>
      </c>
      <c r="Q9" s="78">
        <f t="shared" si="2"/>
        <v>497004729.06898999</v>
      </c>
      <c r="R9" s="132">
        <f t="shared" si="3"/>
        <v>955079139.33797812</v>
      </c>
      <c r="S9" s="133">
        <f t="shared" si="4"/>
        <v>0</v>
      </c>
      <c r="T9" s="72"/>
    </row>
    <row r="10" spans="1:51" s="43" customFormat="1" ht="14" customHeight="1">
      <c r="A10" s="72"/>
      <c r="B10" s="755"/>
      <c r="C10" s="144" t="s">
        <v>9</v>
      </c>
      <c r="D10" s="145" t="s">
        <v>13</v>
      </c>
      <c r="E10" s="472">
        <f t="shared" ref="E10:P10" si="7">SUM(E26,E42,E58,E74,E90,E106,E122,E138,E154,E170,E186,E202,E218,E234,E250,E266,E282)</f>
        <v>1803389770.742754</v>
      </c>
      <c r="F10" s="146">
        <f t="shared" si="7"/>
        <v>3291721344.022727</v>
      </c>
      <c r="G10" s="146">
        <f t="shared" si="7"/>
        <v>9587926.125657849</v>
      </c>
      <c r="H10" s="146">
        <f t="shared" si="7"/>
        <v>9449579.1631914787</v>
      </c>
      <c r="I10" s="146">
        <f t="shared" si="7"/>
        <v>0</v>
      </c>
      <c r="J10" s="146">
        <f t="shared" si="7"/>
        <v>0</v>
      </c>
      <c r="K10" s="146">
        <f t="shared" si="7"/>
        <v>0</v>
      </c>
      <c r="L10" s="146">
        <f t="shared" si="7"/>
        <v>0</v>
      </c>
      <c r="M10" s="146">
        <f t="shared" si="7"/>
        <v>0</v>
      </c>
      <c r="N10" s="146">
        <f t="shared" si="7"/>
        <v>0</v>
      </c>
      <c r="O10" s="146">
        <f t="shared" si="7"/>
        <v>0</v>
      </c>
      <c r="P10" s="146">
        <f t="shared" si="7"/>
        <v>0</v>
      </c>
      <c r="Q10" s="147">
        <f t="shared" si="2"/>
        <v>1812977696.8684118</v>
      </c>
      <c r="R10" s="148">
        <f t="shared" si="3"/>
        <v>3301170923.1859183</v>
      </c>
      <c r="S10" s="149">
        <f t="shared" si="4"/>
        <v>0</v>
      </c>
      <c r="T10" s="72"/>
    </row>
    <row r="11" spans="1:51" s="43" customFormat="1" ht="14" customHeight="1">
      <c r="A11" s="72"/>
      <c r="B11" s="755"/>
      <c r="C11" s="129" t="s">
        <v>8</v>
      </c>
      <c r="D11" s="130" t="s">
        <v>0</v>
      </c>
      <c r="E11" s="471">
        <f t="shared" ref="E11:K18" si="8">SUM(E27,E43,E59,E75,E91,E107,E123,E139,E155,E171,E187,E203,E219,E235,E251,E267,E283)</f>
        <v>2796811241.9022155</v>
      </c>
      <c r="F11" s="131">
        <f t="shared" si="8"/>
        <v>2858762067.5136948</v>
      </c>
      <c r="G11" s="131">
        <f t="shared" si="8"/>
        <v>68572987.802430049</v>
      </c>
      <c r="H11" s="131">
        <f t="shared" si="8"/>
        <v>529679288.13009453</v>
      </c>
      <c r="I11" s="131">
        <f t="shared" si="8"/>
        <v>90471189.586012602</v>
      </c>
      <c r="J11" s="131">
        <f t="shared" si="8"/>
        <v>95763192.766012609</v>
      </c>
      <c r="K11" s="131">
        <f t="shared" si="8"/>
        <v>3780761424.3017187</v>
      </c>
      <c r="L11" s="131">
        <f>SUM(L27,L43,L59,L75,L91,L107,L123,L139,L155,L171,L187,L203,L219,L235,L251,L267,L283)-L187</f>
        <v>167645149479.30859</v>
      </c>
      <c r="M11" s="131">
        <f t="shared" ref="M11:P18" si="9">SUM(M27,M43,M59,M75,M91,M107,M123,M139,M155,M171,M187,M203,M219,M235,M251,M267,M283)</f>
        <v>328634066.09141976</v>
      </c>
      <c r="N11" s="131">
        <f t="shared" si="9"/>
        <v>76890460.698806077</v>
      </c>
      <c r="O11" s="131">
        <f t="shared" si="9"/>
        <v>-2767634429.9675379</v>
      </c>
      <c r="P11" s="131">
        <f t="shared" si="9"/>
        <v>-2767634429.9675379</v>
      </c>
      <c r="Q11" s="78">
        <f t="shared" si="2"/>
        <v>7065250909.6837969</v>
      </c>
      <c r="R11" s="132">
        <f t="shared" si="3"/>
        <v>171206244488.41718</v>
      </c>
      <c r="S11" s="133">
        <f t="shared" si="4"/>
        <v>-2767634429.9675379</v>
      </c>
      <c r="T11" s="72"/>
    </row>
    <row r="12" spans="1:51" s="43" customFormat="1" ht="14" customHeight="1">
      <c r="A12" s="72"/>
      <c r="B12" s="755"/>
      <c r="C12" s="129" t="s">
        <v>8</v>
      </c>
      <c r="D12" s="134" t="s">
        <v>7</v>
      </c>
      <c r="E12" s="471">
        <f t="shared" si="8"/>
        <v>0</v>
      </c>
      <c r="F12" s="131">
        <f t="shared" si="8"/>
        <v>0</v>
      </c>
      <c r="G12" s="131">
        <f t="shared" si="8"/>
        <v>0</v>
      </c>
      <c r="H12" s="131">
        <f t="shared" si="8"/>
        <v>0</v>
      </c>
      <c r="I12" s="131">
        <f t="shared" si="8"/>
        <v>0</v>
      </c>
      <c r="J12" s="131">
        <f t="shared" si="8"/>
        <v>0</v>
      </c>
      <c r="K12" s="131">
        <f t="shared" si="8"/>
        <v>167448481.01510042</v>
      </c>
      <c r="L12" s="131">
        <f t="shared" ref="L12:L18" si="10">SUM(L28,L44,L60,L76,L92,L108,L124,L140,L156,L172,L188,L204,L220,L236,L252,L268,L284)</f>
        <v>14013850131.869186</v>
      </c>
      <c r="M12" s="131">
        <f t="shared" si="9"/>
        <v>8928904.1608729176</v>
      </c>
      <c r="N12" s="131">
        <f t="shared" si="9"/>
        <v>0</v>
      </c>
      <c r="O12" s="131">
        <f t="shared" si="9"/>
        <v>0</v>
      </c>
      <c r="P12" s="131">
        <f t="shared" si="9"/>
        <v>0</v>
      </c>
      <c r="Q12" s="78">
        <f t="shared" si="2"/>
        <v>176377385.17597333</v>
      </c>
      <c r="R12" s="132">
        <f t="shared" si="3"/>
        <v>14013850131.869186</v>
      </c>
      <c r="S12" s="133">
        <f t="shared" si="4"/>
        <v>0</v>
      </c>
      <c r="T12" s="72"/>
    </row>
    <row r="13" spans="1:51" s="43" customFormat="1" ht="14" customHeight="1">
      <c r="A13" s="72"/>
      <c r="B13" s="755"/>
      <c r="C13" s="129" t="s">
        <v>8</v>
      </c>
      <c r="D13" s="135" t="s">
        <v>1</v>
      </c>
      <c r="E13" s="471">
        <f t="shared" si="8"/>
        <v>0</v>
      </c>
      <c r="F13" s="131">
        <f t="shared" si="8"/>
        <v>0</v>
      </c>
      <c r="G13" s="131">
        <f t="shared" si="8"/>
        <v>0</v>
      </c>
      <c r="H13" s="131">
        <f t="shared" si="8"/>
        <v>0</v>
      </c>
      <c r="I13" s="131">
        <f t="shared" si="8"/>
        <v>121007572.64684497</v>
      </c>
      <c r="J13" s="131">
        <f t="shared" si="8"/>
        <v>121009649.33096388</v>
      </c>
      <c r="K13" s="131">
        <f t="shared" si="8"/>
        <v>177539087.47599962</v>
      </c>
      <c r="L13" s="131">
        <f t="shared" si="10"/>
        <v>20496920090.575703</v>
      </c>
      <c r="M13" s="131">
        <f t="shared" si="9"/>
        <v>5713316.8781791255</v>
      </c>
      <c r="N13" s="131">
        <f t="shared" si="9"/>
        <v>0</v>
      </c>
      <c r="O13" s="131">
        <f t="shared" si="9"/>
        <v>0</v>
      </c>
      <c r="P13" s="131">
        <f t="shared" si="9"/>
        <v>0</v>
      </c>
      <c r="Q13" s="78">
        <f t="shared" si="2"/>
        <v>304259977.00102371</v>
      </c>
      <c r="R13" s="132">
        <f t="shared" si="3"/>
        <v>20617929739.906666</v>
      </c>
      <c r="S13" s="133">
        <f t="shared" si="4"/>
        <v>0</v>
      </c>
      <c r="T13" s="72"/>
    </row>
    <row r="14" spans="1:51" s="43" customFormat="1" ht="14" customHeight="1">
      <c r="A14" s="72"/>
      <c r="B14" s="755"/>
      <c r="C14" s="136" t="s">
        <v>8</v>
      </c>
      <c r="D14" s="137" t="s">
        <v>13</v>
      </c>
      <c r="E14" s="473">
        <f t="shared" si="8"/>
        <v>0</v>
      </c>
      <c r="F14" s="138">
        <f t="shared" si="8"/>
        <v>0</v>
      </c>
      <c r="G14" s="138">
        <f t="shared" si="8"/>
        <v>0</v>
      </c>
      <c r="H14" s="138">
        <f t="shared" si="8"/>
        <v>0</v>
      </c>
      <c r="I14" s="138">
        <f t="shared" si="8"/>
        <v>0</v>
      </c>
      <c r="J14" s="138">
        <f t="shared" si="8"/>
        <v>0</v>
      </c>
      <c r="K14" s="138">
        <f t="shared" si="8"/>
        <v>0</v>
      </c>
      <c r="L14" s="138">
        <f t="shared" si="10"/>
        <v>0</v>
      </c>
      <c r="M14" s="138">
        <f t="shared" si="9"/>
        <v>0</v>
      </c>
      <c r="N14" s="138">
        <f t="shared" si="9"/>
        <v>0</v>
      </c>
      <c r="O14" s="138">
        <f t="shared" si="9"/>
        <v>0</v>
      </c>
      <c r="P14" s="138">
        <f t="shared" si="9"/>
        <v>0</v>
      </c>
      <c r="Q14" s="139">
        <f t="shared" si="2"/>
        <v>0</v>
      </c>
      <c r="R14" s="140">
        <f t="shared" si="3"/>
        <v>0</v>
      </c>
      <c r="S14" s="141">
        <f t="shared" si="4"/>
        <v>0</v>
      </c>
      <c r="T14" s="72"/>
    </row>
    <row r="15" spans="1:51" s="43" customFormat="1" ht="14" customHeight="1">
      <c r="A15" s="72"/>
      <c r="B15" s="755"/>
      <c r="C15" s="150" t="s">
        <v>10</v>
      </c>
      <c r="D15" s="143" t="s">
        <v>0</v>
      </c>
      <c r="E15" s="471">
        <f t="shared" si="8"/>
        <v>17688985.280499998</v>
      </c>
      <c r="F15" s="131">
        <f t="shared" si="8"/>
        <v>17688985.280499998</v>
      </c>
      <c r="G15" s="131">
        <f t="shared" si="8"/>
        <v>0</v>
      </c>
      <c r="H15" s="131">
        <f t="shared" si="8"/>
        <v>0</v>
      </c>
      <c r="I15" s="131">
        <f t="shared" si="8"/>
        <v>0</v>
      </c>
      <c r="J15" s="131">
        <f t="shared" si="8"/>
        <v>0</v>
      </c>
      <c r="K15" s="131">
        <f t="shared" si="8"/>
        <v>249537424.45560941</v>
      </c>
      <c r="L15" s="131">
        <f t="shared" si="10"/>
        <v>1250440376.6359482</v>
      </c>
      <c r="M15" s="131">
        <f t="shared" si="9"/>
        <v>3451315.352502496</v>
      </c>
      <c r="N15" s="131">
        <f t="shared" si="9"/>
        <v>197683.57607483436</v>
      </c>
      <c r="O15" s="131">
        <f t="shared" si="9"/>
        <v>0</v>
      </c>
      <c r="P15" s="131">
        <f t="shared" si="9"/>
        <v>0</v>
      </c>
      <c r="Q15" s="78">
        <f t="shared" si="2"/>
        <v>270677725.0886119</v>
      </c>
      <c r="R15" s="132">
        <f t="shared" si="3"/>
        <v>1268327045.492523</v>
      </c>
      <c r="S15" s="133">
        <f t="shared" si="4"/>
        <v>0</v>
      </c>
      <c r="T15" s="72"/>
    </row>
    <row r="16" spans="1:51" s="43" customFormat="1" ht="14" customHeight="1">
      <c r="A16" s="72"/>
      <c r="B16" s="755"/>
      <c r="C16" s="150" t="s">
        <v>10</v>
      </c>
      <c r="D16" s="134" t="s">
        <v>7</v>
      </c>
      <c r="E16" s="471">
        <f t="shared" si="8"/>
        <v>0</v>
      </c>
      <c r="F16" s="131">
        <f t="shared" si="8"/>
        <v>0</v>
      </c>
      <c r="G16" s="131">
        <f t="shared" si="8"/>
        <v>0</v>
      </c>
      <c r="H16" s="131">
        <f t="shared" si="8"/>
        <v>0</v>
      </c>
      <c r="I16" s="131">
        <f t="shared" si="8"/>
        <v>0</v>
      </c>
      <c r="J16" s="131">
        <f t="shared" si="8"/>
        <v>0</v>
      </c>
      <c r="K16" s="131">
        <f t="shared" si="8"/>
        <v>13726678.816637261</v>
      </c>
      <c r="L16" s="131">
        <f t="shared" si="10"/>
        <v>154314084.30743083</v>
      </c>
      <c r="M16" s="131">
        <f t="shared" si="9"/>
        <v>81420.557085583496</v>
      </c>
      <c r="N16" s="131">
        <f t="shared" si="9"/>
        <v>0</v>
      </c>
      <c r="O16" s="131">
        <f t="shared" si="9"/>
        <v>0</v>
      </c>
      <c r="P16" s="131">
        <f t="shared" si="9"/>
        <v>0</v>
      </c>
      <c r="Q16" s="78">
        <f t="shared" si="2"/>
        <v>13808099.373722844</v>
      </c>
      <c r="R16" s="132">
        <f t="shared" si="3"/>
        <v>154314084.30743083</v>
      </c>
      <c r="S16" s="133">
        <f t="shared" si="4"/>
        <v>0</v>
      </c>
      <c r="T16" s="72"/>
    </row>
    <row r="17" spans="1:20" s="43" customFormat="1" ht="14" customHeight="1">
      <c r="A17" s="72"/>
      <c r="B17" s="755"/>
      <c r="C17" s="150" t="s">
        <v>10</v>
      </c>
      <c r="D17" s="135" t="s">
        <v>1</v>
      </c>
      <c r="E17" s="471">
        <f t="shared" si="8"/>
        <v>12281799.355743628</v>
      </c>
      <c r="F17" s="131">
        <f t="shared" si="8"/>
        <v>0</v>
      </c>
      <c r="G17" s="131">
        <f t="shared" si="8"/>
        <v>0</v>
      </c>
      <c r="H17" s="151">
        <f t="shared" si="8"/>
        <v>0</v>
      </c>
      <c r="I17" s="131">
        <f t="shared" si="8"/>
        <v>0</v>
      </c>
      <c r="J17" s="131">
        <f t="shared" si="8"/>
        <v>0</v>
      </c>
      <c r="K17" s="131">
        <f t="shared" si="8"/>
        <v>14871120.572018959</v>
      </c>
      <c r="L17" s="131">
        <f t="shared" si="10"/>
        <v>235641593.75458255</v>
      </c>
      <c r="M17" s="131">
        <f t="shared" si="9"/>
        <v>46200.881268353296</v>
      </c>
      <c r="N17" s="131">
        <f t="shared" si="9"/>
        <v>0</v>
      </c>
      <c r="O17" s="131">
        <f t="shared" si="9"/>
        <v>0</v>
      </c>
      <c r="P17" s="131">
        <f t="shared" si="9"/>
        <v>0</v>
      </c>
      <c r="Q17" s="78">
        <f t="shared" si="2"/>
        <v>27199120.809030939</v>
      </c>
      <c r="R17" s="132">
        <f t="shared" si="3"/>
        <v>235641593.75458255</v>
      </c>
      <c r="S17" s="133">
        <f t="shared" si="4"/>
        <v>0</v>
      </c>
      <c r="T17" s="72"/>
    </row>
    <row r="18" spans="1:20" s="43" customFormat="1" ht="14" customHeight="1" thickBot="1">
      <c r="A18" s="72"/>
      <c r="B18" s="755"/>
      <c r="C18" s="150" t="s">
        <v>10</v>
      </c>
      <c r="D18" s="166" t="s">
        <v>13</v>
      </c>
      <c r="E18" s="471">
        <f t="shared" si="8"/>
        <v>4783142.6128159733</v>
      </c>
      <c r="F18" s="131">
        <f t="shared" si="8"/>
        <v>0</v>
      </c>
      <c r="G18" s="131">
        <f t="shared" si="8"/>
        <v>0</v>
      </c>
      <c r="H18" s="131">
        <f t="shared" si="8"/>
        <v>0</v>
      </c>
      <c r="I18" s="131">
        <f t="shared" si="8"/>
        <v>0</v>
      </c>
      <c r="J18" s="131">
        <f t="shared" si="8"/>
        <v>0</v>
      </c>
      <c r="K18" s="131">
        <f t="shared" si="8"/>
        <v>0</v>
      </c>
      <c r="L18" s="131">
        <f t="shared" si="10"/>
        <v>0</v>
      </c>
      <c r="M18" s="131">
        <f t="shared" si="9"/>
        <v>0</v>
      </c>
      <c r="N18" s="131">
        <f t="shared" si="9"/>
        <v>0</v>
      </c>
      <c r="O18" s="131">
        <f t="shared" si="9"/>
        <v>0</v>
      </c>
      <c r="P18" s="131">
        <f t="shared" si="9"/>
        <v>0</v>
      </c>
      <c r="Q18" s="78">
        <f t="shared" si="2"/>
        <v>4783142.6128159733</v>
      </c>
      <c r="R18" s="132">
        <f t="shared" si="3"/>
        <v>0</v>
      </c>
      <c r="S18" s="133">
        <f t="shared" si="4"/>
        <v>0</v>
      </c>
      <c r="T18" s="72"/>
    </row>
    <row r="19" spans="1:20" s="11" customFormat="1" ht="30" customHeight="1" thickBot="1">
      <c r="A19" s="77"/>
      <c r="B19" s="771" t="s">
        <v>760</v>
      </c>
      <c r="C19" s="772"/>
      <c r="D19" s="772"/>
      <c r="E19" s="772"/>
      <c r="F19" s="772"/>
      <c r="G19" s="772"/>
      <c r="H19" s="772"/>
      <c r="I19" s="772"/>
      <c r="J19" s="772"/>
      <c r="K19" s="772"/>
      <c r="L19" s="772"/>
      <c r="M19" s="772"/>
      <c r="N19" s="772"/>
      <c r="O19" s="772"/>
      <c r="P19" s="772"/>
      <c r="Q19" s="772"/>
      <c r="R19" s="772"/>
      <c r="S19" s="773"/>
      <c r="T19" s="77"/>
    </row>
    <row r="20" spans="1:20" s="11" customFormat="1" ht="14" customHeight="1">
      <c r="A20" s="77"/>
      <c r="B20" s="755" t="s">
        <v>32</v>
      </c>
      <c r="C20" s="120"/>
      <c r="D20" s="120"/>
      <c r="E20" s="759" t="s">
        <v>591</v>
      </c>
      <c r="F20" s="760"/>
      <c r="G20" s="756" t="s">
        <v>66</v>
      </c>
      <c r="H20" s="756"/>
      <c r="I20" s="742" t="s">
        <v>67</v>
      </c>
      <c r="J20" s="742"/>
      <c r="K20" s="743" t="s">
        <v>68</v>
      </c>
      <c r="L20" s="743"/>
      <c r="M20" s="744" t="s">
        <v>69</v>
      </c>
      <c r="N20" s="744"/>
      <c r="O20" s="745" t="s">
        <v>413</v>
      </c>
      <c r="P20" s="745"/>
      <c r="Q20" s="121" t="s">
        <v>763</v>
      </c>
      <c r="R20" s="122" t="s">
        <v>763</v>
      </c>
      <c r="S20" s="123" t="s">
        <v>763</v>
      </c>
      <c r="T20" s="77"/>
    </row>
    <row r="21" spans="1:20" s="11" customFormat="1" ht="14" customHeight="1">
      <c r="A21" s="77"/>
      <c r="B21" s="755"/>
      <c r="C21" s="120"/>
      <c r="D21" s="120"/>
      <c r="E21" s="469" t="s">
        <v>209</v>
      </c>
      <c r="F21" s="414" t="s">
        <v>208</v>
      </c>
      <c r="G21" s="414" t="s">
        <v>209</v>
      </c>
      <c r="H21" s="414" t="s">
        <v>208</v>
      </c>
      <c r="I21" s="414" t="s">
        <v>209</v>
      </c>
      <c r="J21" s="414" t="s">
        <v>208</v>
      </c>
      <c r="K21" s="414" t="s">
        <v>209</v>
      </c>
      <c r="L21" s="414" t="s">
        <v>208</v>
      </c>
      <c r="M21" s="414" t="s">
        <v>209</v>
      </c>
      <c r="N21" s="414" t="s">
        <v>208</v>
      </c>
      <c r="O21" s="414" t="s">
        <v>209</v>
      </c>
      <c r="P21" s="414" t="s">
        <v>208</v>
      </c>
      <c r="Q21" s="121" t="s">
        <v>209</v>
      </c>
      <c r="R21" s="468" t="s">
        <v>208</v>
      </c>
      <c r="S21" s="123" t="s">
        <v>413</v>
      </c>
      <c r="T21" s="77"/>
    </row>
    <row r="22" spans="1:20" s="11" customFormat="1" ht="28" customHeight="1">
      <c r="A22" s="77"/>
      <c r="B22" s="755"/>
      <c r="C22" s="124" t="s">
        <v>761</v>
      </c>
      <c r="D22" s="125" t="s">
        <v>762</v>
      </c>
      <c r="E22" s="126">
        <f t="shared" ref="E22:S22" si="11">SUM(E23:E34)</f>
        <v>2381744246.7112727</v>
      </c>
      <c r="F22" s="126">
        <f t="shared" si="11"/>
        <v>4543975072.2183867</v>
      </c>
      <c r="G22" s="126">
        <f t="shared" si="11"/>
        <v>0</v>
      </c>
      <c r="H22" s="126">
        <f t="shared" si="11"/>
        <v>0</v>
      </c>
      <c r="I22" s="126">
        <f t="shared" si="11"/>
        <v>121397133.38098459</v>
      </c>
      <c r="J22" s="126">
        <f t="shared" si="11"/>
        <v>125744946.87412748</v>
      </c>
      <c r="K22" s="126">
        <f t="shared" si="11"/>
        <v>350252198.00589222</v>
      </c>
      <c r="L22" s="126">
        <f t="shared" si="11"/>
        <v>2408812067.346375</v>
      </c>
      <c r="M22" s="126">
        <f t="shared" si="11"/>
        <v>0</v>
      </c>
      <c r="N22" s="126">
        <f t="shared" si="11"/>
        <v>0</v>
      </c>
      <c r="O22" s="126">
        <f t="shared" si="11"/>
        <v>-814736285.76330531</v>
      </c>
      <c r="P22" s="126">
        <f t="shared" si="11"/>
        <v>-814736285.76330531</v>
      </c>
      <c r="Q22" s="79">
        <f t="shared" si="11"/>
        <v>2853393578.0981493</v>
      </c>
      <c r="R22" s="127">
        <f t="shared" si="11"/>
        <v>7078532086.4388895</v>
      </c>
      <c r="S22" s="128">
        <f t="shared" si="11"/>
        <v>-814736285.76330531</v>
      </c>
      <c r="T22" s="77"/>
    </row>
    <row r="23" spans="1:20" s="11" customFormat="1" ht="14" customHeight="1">
      <c r="A23" s="77"/>
      <c r="B23" s="755"/>
      <c r="C23" s="142" t="s">
        <v>9</v>
      </c>
      <c r="D23" s="143" t="s">
        <v>0</v>
      </c>
      <c r="E23" s="470">
        <f>10^6*('Intermediate o&amp;g entries'!H4+'Intermediate o&amp;g entries'!N4)</f>
        <v>79388655.530356213</v>
      </c>
      <c r="F23" s="131">
        <f>10^6*('Intermediate o&amp;g entries'!H4+'Intermediate o&amp;g entries'!N4)</f>
        <v>79388655.530356213</v>
      </c>
      <c r="G23" s="131">
        <v>0</v>
      </c>
      <c r="H23" s="131">
        <v>0</v>
      </c>
      <c r="I23" s="131">
        <f>'Conventional Oil'!C21*'Conventional Oil'!K21</f>
        <v>79426.676196919158</v>
      </c>
      <c r="J23" s="131">
        <f>SUMPRODUCT('Conventional Oil'!O20:O21,'Conventional Oil'!W20:W21)</f>
        <v>1818552.073454075</v>
      </c>
      <c r="K23" s="131">
        <f>'Conventional Oil'!$AA$25/Oil!$AA$26*'Sankey conversion input'!K25+'Conventional Oil'!$AA$26/Oil!$AA$27*('Sankey conversion input'!H25+'Sankey conversion input'!N25)-M23</f>
        <v>92180698.043610156</v>
      </c>
      <c r="L23" s="131">
        <f>'Conventional Oil'!$AA$25/Oil!$AA$26*'Sankey conversion input'!J25+'Conventional Oil'!$AA$26/Oil!$AA$27*('Sankey conversion input'!G25+'Sankey conversion input'!M25)-N23</f>
        <v>144410423.28902024</v>
      </c>
      <c r="M23" s="131">
        <v>0</v>
      </c>
      <c r="N23" s="131">
        <v>0</v>
      </c>
      <c r="O23" s="131">
        <v>0</v>
      </c>
      <c r="P23" s="131">
        <v>0</v>
      </c>
      <c r="Q23" s="78">
        <f t="shared" ref="Q23:Q34" si="12">SUM(E23,G23,I23,K23,M23)</f>
        <v>171648780.25016329</v>
      </c>
      <c r="R23" s="132">
        <f t="shared" ref="R23:R34" si="13">SUM(F23,H23,J23,L23,N23)</f>
        <v>225617630.89283055</v>
      </c>
      <c r="S23" s="133">
        <f t="shared" ref="S23:S34" si="14">P23</f>
        <v>0</v>
      </c>
      <c r="T23" s="77"/>
    </row>
    <row r="24" spans="1:20" s="11" customFormat="1" ht="14" customHeight="1">
      <c r="A24" s="77"/>
      <c r="B24" s="755"/>
      <c r="C24" s="142" t="s">
        <v>9</v>
      </c>
      <c r="D24" s="134" t="s">
        <v>7</v>
      </c>
      <c r="E24" s="471">
        <f>10^6*('Intermediate o&amp;g entries'!W8-'Intermediate o&amp;g entries'!N8-'Intermediate o&amp;g entries'!H8)</f>
        <v>250180993.58170831</v>
      </c>
      <c r="F24" s="131">
        <f>10^6*('Intermediate o&amp;g entries'!W8)</f>
        <v>484177104.19503593</v>
      </c>
      <c r="G24" s="131">
        <v>0</v>
      </c>
      <c r="H24" s="131">
        <v>0</v>
      </c>
      <c r="I24" s="131">
        <v>0</v>
      </c>
      <c r="J24" s="131">
        <v>0</v>
      </c>
      <c r="K24" s="131">
        <f>'Conventional Oil'!$AA$25/Oil!$AA$26*'Sankey conversion input'!K26+'Conventional Oil'!$AA$26/Oil!$AA$27*('Sankey conversion input'!H26+'Sankey conversion input'!N26)-M24</f>
        <v>15935.826090422272</v>
      </c>
      <c r="L24" s="131">
        <f>'Conventional Oil'!$AA$25/Oil!$AA$26*'Sankey conversion input'!J26+'Conventional Oil'!$AA$26/Oil!$AA$27*('Sankey conversion input'!G26+'Sankey conversion input'!M26)-N24</f>
        <v>23211.80971942098</v>
      </c>
      <c r="M24" s="131">
        <v>0</v>
      </c>
      <c r="N24" s="131">
        <v>0</v>
      </c>
      <c r="O24" s="131">
        <v>0</v>
      </c>
      <c r="P24" s="131">
        <v>0</v>
      </c>
      <c r="Q24" s="78">
        <f t="shared" si="12"/>
        <v>250196929.40779874</v>
      </c>
      <c r="R24" s="132">
        <f t="shared" si="13"/>
        <v>484200316.00475538</v>
      </c>
      <c r="S24" s="133">
        <f t="shared" si="14"/>
        <v>0</v>
      </c>
      <c r="T24" s="77"/>
    </row>
    <row r="25" spans="1:20" s="11" customFormat="1" ht="14" customHeight="1">
      <c r="A25" s="77"/>
      <c r="B25" s="755"/>
      <c r="C25" s="142" t="s">
        <v>9</v>
      </c>
      <c r="D25" s="135" t="s">
        <v>1</v>
      </c>
      <c r="E25" s="471">
        <f>10^6*('Intermediate o&amp;g entries'!W9-'Intermediate o&amp;g entries'!N9-'Intermediate o&amp;g entries'!H9)</f>
        <v>472694617.52796561</v>
      </c>
      <c r="F25" s="131">
        <f>10^6*('Intermediate o&amp;g entries'!W9)</f>
        <v>918039075.27659774</v>
      </c>
      <c r="G25" s="131">
        <v>0</v>
      </c>
      <c r="H25" s="131">
        <v>0</v>
      </c>
      <c r="I25" s="131">
        <v>0</v>
      </c>
      <c r="J25" s="131">
        <v>0</v>
      </c>
      <c r="K25" s="131">
        <f>'Conventional Oil'!$AA$25/Oil!$AA$26*'Sankey conversion input'!K27+'Conventional Oil'!$AA$26/Oil!$AA$27*('Sankey conversion input'!H27+'Sankey conversion input'!N27)-M25</f>
        <v>163.33198951893067</v>
      </c>
      <c r="L25" s="131">
        <f>'Conventional Oil'!$AA$25/Oil!$AA$26*'Sankey conversion input'!J27+'Conventional Oil'!$AA$26/Oil!$AA$27*('Sankey conversion input'!G27+'Sankey conversion input'!M27)-N25</f>
        <v>183.38945475185452</v>
      </c>
      <c r="M25" s="131">
        <v>0</v>
      </c>
      <c r="N25" s="131">
        <v>0</v>
      </c>
      <c r="O25" s="131">
        <v>0</v>
      </c>
      <c r="P25" s="131">
        <v>0</v>
      </c>
      <c r="Q25" s="78">
        <f t="shared" si="12"/>
        <v>472694780.85995513</v>
      </c>
      <c r="R25" s="132">
        <f t="shared" si="13"/>
        <v>918039258.66605246</v>
      </c>
      <c r="S25" s="133">
        <f t="shared" si="14"/>
        <v>0</v>
      </c>
      <c r="T25" s="77"/>
    </row>
    <row r="26" spans="1:20" s="11" customFormat="1" ht="14" customHeight="1">
      <c r="A26" s="77"/>
      <c r="B26" s="755"/>
      <c r="C26" s="144" t="s">
        <v>9</v>
      </c>
      <c r="D26" s="145" t="s">
        <v>13</v>
      </c>
      <c r="E26" s="472">
        <f>10^6*('Intermediate o&amp;g entries'!W10-'Intermediate o&amp;g entries'!N10-'Intermediate o&amp;g entries'!H10)</f>
        <v>1518932119.0438833</v>
      </c>
      <c r="F26" s="146">
        <f>10^6*('Intermediate o&amp;g entries'!W10)</f>
        <v>3002480549.7110405</v>
      </c>
      <c r="G26" s="146">
        <v>0</v>
      </c>
      <c r="H26" s="146">
        <v>0</v>
      </c>
      <c r="I26" s="146">
        <v>0</v>
      </c>
      <c r="J26" s="146">
        <v>0</v>
      </c>
      <c r="K26" s="146">
        <f>'Conventional Oil'!$AA$25/Oil!$AA$26*'Sankey conversion input'!K28+'Conventional Oil'!$AA$26/Oil!$AA$27*('Sankey conversion input'!H28+'Sankey conversion input'!N28)-M26</f>
        <v>0</v>
      </c>
      <c r="L26" s="146">
        <f>'Conventional Oil'!$AA$25/Oil!$AA$26*'Sankey conversion input'!J28+'Conventional Oil'!$AA$26/Oil!$AA$27*('Sankey conversion input'!G28+'Sankey conversion input'!M28)-N26</f>
        <v>0</v>
      </c>
      <c r="M26" s="146">
        <v>0</v>
      </c>
      <c r="N26" s="146">
        <v>0</v>
      </c>
      <c r="O26" s="146">
        <v>0</v>
      </c>
      <c r="P26" s="146">
        <v>0</v>
      </c>
      <c r="Q26" s="147">
        <f t="shared" si="12"/>
        <v>1518932119.0438833</v>
      </c>
      <c r="R26" s="148">
        <f t="shared" si="13"/>
        <v>3002480549.7110405</v>
      </c>
      <c r="S26" s="149">
        <f t="shared" si="14"/>
        <v>0</v>
      </c>
      <c r="T26" s="77"/>
    </row>
    <row r="27" spans="1:20" s="11" customFormat="1" ht="14" customHeight="1">
      <c r="A27" s="77"/>
      <c r="B27" s="755"/>
      <c r="C27" s="129" t="s">
        <v>8</v>
      </c>
      <c r="D27" s="130" t="s">
        <v>0</v>
      </c>
      <c r="E27" s="471">
        <f>10^6*('Intermediate o&amp;g entries'!H5+'Intermediate o&amp;g entries'!N5)</f>
        <v>59889687.505356446</v>
      </c>
      <c r="F27" s="131">
        <f>10^6*('Intermediate o&amp;g entries'!H5+'Intermediate o&amp;g entries'!N5)</f>
        <v>59889687.505356446</v>
      </c>
      <c r="G27" s="131">
        <v>0</v>
      </c>
      <c r="H27" s="131">
        <v>0</v>
      </c>
      <c r="I27" s="131">
        <f>'Conventional Oil'!C21*'Conventional Oil'!L21</f>
        <v>317706.70478767663</v>
      </c>
      <c r="J27" s="131">
        <f>SUMPRODUCT('Conventional Oil'!O20:O21,'Conventional Oil'!X20:X21)</f>
        <v>2926394.8006734103</v>
      </c>
      <c r="K27" s="131">
        <f>'Conventional Oil'!$AA$25/Oil!$AA$26*'Sankey conversion input'!K21+'Conventional Oil'!$AA$26/Oil!$AA$27*('Sankey conversion input'!H21+'Sankey conversion input'!N21)-M27</f>
        <v>252121588.5520229</v>
      </c>
      <c r="L27" s="131">
        <f>'Conventional Oil'!$AA$25/Oil!$AA$26*'Sankey conversion input'!J21+'Conventional Oil'!$AA$26/Oil!$AA$27*('Sankey conversion input'!G21+'Sankey conversion input'!M21)-N27</f>
        <v>1371574175.3152568</v>
      </c>
      <c r="M27" s="131">
        <v>0</v>
      </c>
      <c r="N27" s="131">
        <v>0</v>
      </c>
      <c r="O27" s="131">
        <f>'Conventional Oil'!C31</f>
        <v>-814736285.76330531</v>
      </c>
      <c r="P27" s="131">
        <f>'Conventional Oil'!O31</f>
        <v>-814736285.76330531</v>
      </c>
      <c r="Q27" s="78">
        <f t="shared" si="12"/>
        <v>312328982.76216704</v>
      </c>
      <c r="R27" s="132">
        <f t="shared" si="13"/>
        <v>1434390257.6212866</v>
      </c>
      <c r="S27" s="133">
        <f t="shared" si="14"/>
        <v>-814736285.76330531</v>
      </c>
      <c r="T27" s="77"/>
    </row>
    <row r="28" spans="1:20" s="11" customFormat="1" ht="14" customHeight="1">
      <c r="A28" s="77"/>
      <c r="B28" s="755"/>
      <c r="C28" s="129" t="s">
        <v>8</v>
      </c>
      <c r="D28" s="134" t="s">
        <v>7</v>
      </c>
      <c r="E28" s="471">
        <v>0</v>
      </c>
      <c r="F28" s="131">
        <v>0</v>
      </c>
      <c r="G28" s="131">
        <v>0</v>
      </c>
      <c r="H28" s="131">
        <v>0</v>
      </c>
      <c r="I28" s="131">
        <v>0</v>
      </c>
      <c r="J28" s="131">
        <v>0</v>
      </c>
      <c r="K28" s="131">
        <f>'Conventional Oil'!$AA$25/Oil!$AA$26*'Sankey conversion input'!K22+'Conventional Oil'!$AA$26/Oil!$AA$27*('Sankey conversion input'!H22+'Sankey conversion input'!N22)-M28</f>
        <v>1005166.9770533948</v>
      </c>
      <c r="L28" s="131">
        <f>'Conventional Oil'!$AA$25/Oil!$AA$26*'Sankey conversion input'!J22+'Conventional Oil'!$AA$26/Oil!$AA$27*('Sankey conversion input'!G22+'Sankey conversion input'!M22)-N28</f>
        <v>98243006.755165756</v>
      </c>
      <c r="M28" s="131">
        <v>0</v>
      </c>
      <c r="N28" s="131">
        <v>0</v>
      </c>
      <c r="O28" s="131">
        <v>0</v>
      </c>
      <c r="P28" s="131">
        <v>0</v>
      </c>
      <c r="Q28" s="78">
        <f t="shared" si="12"/>
        <v>1005166.9770533948</v>
      </c>
      <c r="R28" s="132">
        <f t="shared" si="13"/>
        <v>98243006.755165756</v>
      </c>
      <c r="S28" s="133">
        <f t="shared" si="14"/>
        <v>0</v>
      </c>
      <c r="T28" s="77"/>
    </row>
    <row r="29" spans="1:20" s="11" customFormat="1" ht="14" customHeight="1">
      <c r="A29" s="77"/>
      <c r="B29" s="755"/>
      <c r="C29" s="129" t="s">
        <v>8</v>
      </c>
      <c r="D29" s="135" t="s">
        <v>1</v>
      </c>
      <c r="E29" s="471">
        <v>0</v>
      </c>
      <c r="F29" s="131">
        <v>0</v>
      </c>
      <c r="G29" s="131">
        <v>0</v>
      </c>
      <c r="H29" s="131">
        <v>0</v>
      </c>
      <c r="I29" s="131">
        <f>'Conventional Oil'!C22</f>
        <v>121000000</v>
      </c>
      <c r="J29" s="131">
        <f>'Conventional Oil'!O22</f>
        <v>121000000</v>
      </c>
      <c r="K29" s="131">
        <f>'Conventional Oil'!$AA$25/Oil!$AA$26*'Sankey conversion input'!K23+'Conventional Oil'!$AA$26/Oil!$AA$27*('Sankey conversion input'!H23+'Sankey conversion input'!N23)-M29</f>
        <v>4485585.7699073348</v>
      </c>
      <c r="L29" s="131">
        <f>'Conventional Oil'!$AA$25/Oil!$AA$26*'Sankey conversion input'!J23+'Conventional Oil'!$AA$26/Oil!$AA$27*('Sankey conversion input'!G23+'Sankey conversion input'!M23)-N29</f>
        <v>791380490.84031153</v>
      </c>
      <c r="M29" s="131">
        <v>0</v>
      </c>
      <c r="N29" s="131">
        <v>0</v>
      </c>
      <c r="O29" s="131">
        <v>0</v>
      </c>
      <c r="P29" s="131">
        <v>0</v>
      </c>
      <c r="Q29" s="78">
        <f t="shared" si="12"/>
        <v>125485585.76990734</v>
      </c>
      <c r="R29" s="132">
        <f t="shared" si="13"/>
        <v>912380490.84031153</v>
      </c>
      <c r="S29" s="133">
        <f t="shared" si="14"/>
        <v>0</v>
      </c>
      <c r="T29" s="77"/>
    </row>
    <row r="30" spans="1:20" s="11" customFormat="1" ht="14" customHeight="1">
      <c r="A30" s="77"/>
      <c r="B30" s="755"/>
      <c r="C30" s="136" t="s">
        <v>8</v>
      </c>
      <c r="D30" s="137" t="s">
        <v>13</v>
      </c>
      <c r="E30" s="473">
        <v>0</v>
      </c>
      <c r="F30" s="138">
        <v>0</v>
      </c>
      <c r="G30" s="138">
        <v>0</v>
      </c>
      <c r="H30" s="138">
        <v>0</v>
      </c>
      <c r="I30" s="138">
        <v>0</v>
      </c>
      <c r="J30" s="138">
        <v>0</v>
      </c>
      <c r="K30" s="138">
        <f>'Conventional Oil'!$AA$25/Oil!$AA$26*'Sankey conversion input'!K24+'Conventional Oil'!$AA$26/Oil!$AA$27*('Sankey conversion input'!H24+'Sankey conversion input'!N24)-M30</f>
        <v>0</v>
      </c>
      <c r="L30" s="138">
        <f>'Conventional Oil'!$AA$25/Oil!$AA$26*'Sankey conversion input'!J24+'Conventional Oil'!$AA$26/Oil!$AA$27*('Sankey conversion input'!G24+'Sankey conversion input'!M24)-N30</f>
        <v>0</v>
      </c>
      <c r="M30" s="138">
        <v>0</v>
      </c>
      <c r="N30" s="138">
        <v>0</v>
      </c>
      <c r="O30" s="138">
        <v>0</v>
      </c>
      <c r="P30" s="138">
        <v>0</v>
      </c>
      <c r="Q30" s="139">
        <f t="shared" si="12"/>
        <v>0</v>
      </c>
      <c r="R30" s="140">
        <f t="shared" si="13"/>
        <v>0</v>
      </c>
      <c r="S30" s="141">
        <f t="shared" si="14"/>
        <v>0</v>
      </c>
      <c r="T30" s="77"/>
    </row>
    <row r="31" spans="1:20" s="11" customFormat="1" ht="14" customHeight="1">
      <c r="A31" s="77"/>
      <c r="B31" s="755"/>
      <c r="C31" s="150" t="s">
        <v>10</v>
      </c>
      <c r="D31" s="143" t="s">
        <v>0</v>
      </c>
      <c r="E31" s="471">
        <v>0</v>
      </c>
      <c r="F31" s="131">
        <v>0</v>
      </c>
      <c r="G31" s="131">
        <v>0</v>
      </c>
      <c r="H31" s="131">
        <v>0</v>
      </c>
      <c r="I31" s="131">
        <v>0</v>
      </c>
      <c r="J31" s="131">
        <v>0</v>
      </c>
      <c r="K31" s="131">
        <f>'Conventional Oil'!$AA$25/Oil!$AA$26*'Sankey conversion input'!K29+'Conventional Oil'!$AA$26/Oil!$AA$27*('Sankey conversion input'!H29+'Sankey conversion input'!N29)-M31</f>
        <v>351415.97195211257</v>
      </c>
      <c r="L31" s="131">
        <f>'Conventional Oil'!$AA$25/Oil!$AA$26*'Sankey conversion input'!J29+'Conventional Oil'!$AA$26/Oil!$AA$27*('Sankey conversion input'!G29+'Sankey conversion input'!M29)-N31</f>
        <v>1653196.0810916701</v>
      </c>
      <c r="M31" s="131">
        <v>0</v>
      </c>
      <c r="N31" s="131">
        <v>0</v>
      </c>
      <c r="O31" s="131">
        <v>0</v>
      </c>
      <c r="P31" s="131">
        <v>0</v>
      </c>
      <c r="Q31" s="78">
        <f t="shared" si="12"/>
        <v>351415.97195211257</v>
      </c>
      <c r="R31" s="132">
        <f t="shared" si="13"/>
        <v>1653196.0810916701</v>
      </c>
      <c r="S31" s="133">
        <f t="shared" si="14"/>
        <v>0</v>
      </c>
      <c r="T31" s="77"/>
    </row>
    <row r="32" spans="1:20" s="11" customFormat="1" ht="14" customHeight="1">
      <c r="A32" s="77"/>
      <c r="B32" s="755"/>
      <c r="C32" s="150" t="s">
        <v>10</v>
      </c>
      <c r="D32" s="134" t="s">
        <v>7</v>
      </c>
      <c r="E32" s="471">
        <v>0</v>
      </c>
      <c r="F32" s="131">
        <v>0</v>
      </c>
      <c r="G32" s="131">
        <v>0</v>
      </c>
      <c r="H32" s="131">
        <v>0</v>
      </c>
      <c r="I32" s="131">
        <v>0</v>
      </c>
      <c r="J32" s="131">
        <v>0</v>
      </c>
      <c r="K32" s="131">
        <f>'Conventional Oil'!$AA$25/Oil!$AA$26*'Sankey conversion input'!K30+'Conventional Oil'!$AA$26/Oil!$AA$27*('Sankey conversion input'!H30+'Sankey conversion input'!N30)-M32</f>
        <v>18842.76120105966</v>
      </c>
      <c r="L32" s="131">
        <f>'Conventional Oil'!$AA$25/Oil!$AA$26*'Sankey conversion input'!J30+'Conventional Oil'!$AA$26/Oil!$AA$27*('Sankey conversion input'!G30+'Sankey conversion input'!M30)-N32</f>
        <v>169742.80810305581</v>
      </c>
      <c r="M32" s="131">
        <v>0</v>
      </c>
      <c r="N32" s="131">
        <v>0</v>
      </c>
      <c r="O32" s="131">
        <v>0</v>
      </c>
      <c r="P32" s="131">
        <v>0</v>
      </c>
      <c r="Q32" s="78">
        <f t="shared" si="12"/>
        <v>18842.76120105966</v>
      </c>
      <c r="R32" s="132">
        <f t="shared" si="13"/>
        <v>169742.80810305581</v>
      </c>
      <c r="S32" s="133">
        <f t="shared" si="14"/>
        <v>0</v>
      </c>
      <c r="T32" s="77"/>
    </row>
    <row r="33" spans="1:20" s="11" customFormat="1" ht="14" customHeight="1">
      <c r="A33" s="77"/>
      <c r="B33" s="755"/>
      <c r="C33" s="150" t="s">
        <v>10</v>
      </c>
      <c r="D33" s="135" t="s">
        <v>1</v>
      </c>
      <c r="E33" s="471">
        <f>10^6*('Intermediate o&amp;g entries'!H9)</f>
        <v>658173.52200321143</v>
      </c>
      <c r="F33" s="131">
        <v>0</v>
      </c>
      <c r="G33" s="131">
        <v>0</v>
      </c>
      <c r="H33" s="151">
        <v>0</v>
      </c>
      <c r="I33" s="131">
        <v>0</v>
      </c>
      <c r="J33" s="131">
        <v>0</v>
      </c>
      <c r="K33" s="131">
        <f>'Conventional Oil'!$AA$25/Oil!$AA$26*'Sankey conversion input'!K31+'Conventional Oil'!$AA$26/Oil!$AA$27*('Sankey conversion input'!H31+'Sankey conversion input'!N31)-M33</f>
        <v>72800.772065227226</v>
      </c>
      <c r="L33" s="131">
        <f>'Conventional Oil'!$AA$25/Oil!$AA$26*'Sankey conversion input'!J31+'Conventional Oil'!$AA$26/Oil!$AA$27*('Sankey conversion input'!G31+'Sankey conversion input'!M31)-N33</f>
        <v>1357637.0582513812</v>
      </c>
      <c r="M33" s="131">
        <v>0</v>
      </c>
      <c r="N33" s="131">
        <v>0</v>
      </c>
      <c r="O33" s="131">
        <v>0</v>
      </c>
      <c r="P33" s="131">
        <v>0</v>
      </c>
      <c r="Q33" s="78">
        <f t="shared" si="12"/>
        <v>730974.2940684387</v>
      </c>
      <c r="R33" s="132">
        <f t="shared" si="13"/>
        <v>1357637.0582513812</v>
      </c>
      <c r="S33" s="133">
        <f t="shared" si="14"/>
        <v>0</v>
      </c>
      <c r="T33" s="77"/>
    </row>
    <row r="34" spans="1:20" s="11" customFormat="1" ht="14" customHeight="1" thickBot="1">
      <c r="A34" s="77"/>
      <c r="B34" s="755"/>
      <c r="C34" s="150" t="s">
        <v>10</v>
      </c>
      <c r="D34" s="166" t="s">
        <v>13</v>
      </c>
      <c r="E34" s="471">
        <v>0</v>
      </c>
      <c r="F34" s="131">
        <v>0</v>
      </c>
      <c r="G34" s="131">
        <v>0</v>
      </c>
      <c r="H34" s="131">
        <v>0</v>
      </c>
      <c r="I34" s="131">
        <v>0</v>
      </c>
      <c r="J34" s="131">
        <v>0</v>
      </c>
      <c r="K34" s="131">
        <f>'Conventional Oil'!$AA$25/Oil!$AA$26*'Sankey conversion input'!K32+'Conventional Oil'!$AA$26/Oil!$AA$27*('Sankey conversion input'!H32+'Sankey conversion input'!N32)-M34</f>
        <v>0</v>
      </c>
      <c r="L34" s="131">
        <f>'Conventional Oil'!$AA$25/Oil!$AA$26*'Sankey conversion input'!J32+'Conventional Oil'!$AA$26/Oil!$AA$27*('Sankey conversion input'!G32+'Sankey conversion input'!M32)-N34</f>
        <v>0</v>
      </c>
      <c r="M34" s="131">
        <v>0</v>
      </c>
      <c r="N34" s="131">
        <v>0</v>
      </c>
      <c r="O34" s="131">
        <v>0</v>
      </c>
      <c r="P34" s="131">
        <v>0</v>
      </c>
      <c r="Q34" s="78">
        <f t="shared" si="12"/>
        <v>0</v>
      </c>
      <c r="R34" s="132">
        <f t="shared" si="13"/>
        <v>0</v>
      </c>
      <c r="S34" s="133">
        <f t="shared" si="14"/>
        <v>0</v>
      </c>
      <c r="T34" s="77"/>
    </row>
    <row r="35" spans="1:20" s="11" customFormat="1" ht="30" customHeight="1" thickBot="1">
      <c r="A35" s="77"/>
      <c r="B35" s="746" t="s">
        <v>21</v>
      </c>
      <c r="C35" s="747"/>
      <c r="D35" s="747"/>
      <c r="E35" s="747"/>
      <c r="F35" s="747"/>
      <c r="G35" s="747"/>
      <c r="H35" s="747"/>
      <c r="I35" s="747"/>
      <c r="J35" s="747"/>
      <c r="K35" s="747"/>
      <c r="L35" s="747"/>
      <c r="M35" s="747"/>
      <c r="N35" s="747"/>
      <c r="O35" s="747"/>
      <c r="P35" s="747"/>
      <c r="Q35" s="747"/>
      <c r="R35" s="747"/>
      <c r="S35" s="748"/>
      <c r="T35" s="77"/>
    </row>
    <row r="36" spans="1:20" s="11" customFormat="1" ht="14" customHeight="1">
      <c r="A36" s="77"/>
      <c r="B36" s="761" t="s">
        <v>32</v>
      </c>
      <c r="C36" s="120"/>
      <c r="D36" s="156"/>
      <c r="E36" s="759" t="s">
        <v>591</v>
      </c>
      <c r="F36" s="760"/>
      <c r="G36" s="756" t="s">
        <v>66</v>
      </c>
      <c r="H36" s="756"/>
      <c r="I36" s="742" t="s">
        <v>67</v>
      </c>
      <c r="J36" s="742"/>
      <c r="K36" s="743" t="s">
        <v>68</v>
      </c>
      <c r="L36" s="743"/>
      <c r="M36" s="744" t="s">
        <v>69</v>
      </c>
      <c r="N36" s="744"/>
      <c r="O36" s="745" t="s">
        <v>413</v>
      </c>
      <c r="P36" s="745"/>
      <c r="Q36" s="121" t="s">
        <v>763</v>
      </c>
      <c r="R36" s="122" t="s">
        <v>763</v>
      </c>
      <c r="S36" s="123" t="s">
        <v>763</v>
      </c>
      <c r="T36" s="77"/>
    </row>
    <row r="37" spans="1:20" s="11" customFormat="1" ht="14" customHeight="1">
      <c r="A37" s="77"/>
      <c r="B37" s="761"/>
      <c r="C37" s="120"/>
      <c r="D37" s="156"/>
      <c r="E37" s="469" t="s">
        <v>209</v>
      </c>
      <c r="F37" s="414" t="s">
        <v>208</v>
      </c>
      <c r="G37" s="414" t="s">
        <v>209</v>
      </c>
      <c r="H37" s="414" t="s">
        <v>208</v>
      </c>
      <c r="I37" s="414" t="s">
        <v>209</v>
      </c>
      <c r="J37" s="414" t="s">
        <v>208</v>
      </c>
      <c r="K37" s="414" t="s">
        <v>209</v>
      </c>
      <c r="L37" s="414" t="s">
        <v>208</v>
      </c>
      <c r="M37" s="414" t="s">
        <v>209</v>
      </c>
      <c r="N37" s="414" t="s">
        <v>208</v>
      </c>
      <c r="O37" s="414" t="s">
        <v>209</v>
      </c>
      <c r="P37" s="414" t="s">
        <v>208</v>
      </c>
      <c r="Q37" s="121" t="s">
        <v>209</v>
      </c>
      <c r="R37" s="468" t="s">
        <v>208</v>
      </c>
      <c r="S37" s="123" t="s">
        <v>413</v>
      </c>
      <c r="T37" s="77"/>
    </row>
    <row r="38" spans="1:20" s="11" customFormat="1" ht="28" customHeight="1">
      <c r="A38" s="77"/>
      <c r="B38" s="761"/>
      <c r="C38" s="124" t="s">
        <v>761</v>
      </c>
      <c r="D38" s="125" t="s">
        <v>762</v>
      </c>
      <c r="E38" s="126">
        <f t="shared" ref="E38:S38" si="15">SUM(E39:E50)</f>
        <v>195123086.77632588</v>
      </c>
      <c r="F38" s="126">
        <f t="shared" si="15"/>
        <v>195123086.77632591</v>
      </c>
      <c r="G38" s="126">
        <f t="shared" si="15"/>
        <v>0</v>
      </c>
      <c r="H38" s="126">
        <f t="shared" si="15"/>
        <v>0</v>
      </c>
      <c r="I38" s="126">
        <f t="shared" si="15"/>
        <v>142256.76801116485</v>
      </c>
      <c r="J38" s="126">
        <f t="shared" si="15"/>
        <v>1699682.8748682747</v>
      </c>
      <c r="K38" s="126">
        <f t="shared" si="15"/>
        <v>125463504.3611643</v>
      </c>
      <c r="L38" s="126">
        <f t="shared" si="15"/>
        <v>862858263.38098538</v>
      </c>
      <c r="M38" s="126">
        <f t="shared" si="15"/>
        <v>0</v>
      </c>
      <c r="N38" s="126">
        <f t="shared" si="15"/>
        <v>0</v>
      </c>
      <c r="O38" s="126">
        <f t="shared" si="15"/>
        <v>-291845904.53403437</v>
      </c>
      <c r="P38" s="126">
        <f t="shared" si="15"/>
        <v>-291845904.53403437</v>
      </c>
      <c r="Q38" s="79">
        <f t="shared" si="15"/>
        <v>320728847.90550143</v>
      </c>
      <c r="R38" s="127">
        <f t="shared" si="15"/>
        <v>1059681033.0321797</v>
      </c>
      <c r="S38" s="128">
        <f t="shared" si="15"/>
        <v>-291845904.53403437</v>
      </c>
      <c r="T38" s="77"/>
    </row>
    <row r="39" spans="1:20" s="11" customFormat="1" ht="14" customHeight="1">
      <c r="A39" s="77"/>
      <c r="B39" s="761"/>
      <c r="C39" s="142" t="s">
        <v>9</v>
      </c>
      <c r="D39" s="143" t="s">
        <v>0</v>
      </c>
      <c r="E39" s="470">
        <f>10^6*('Intermediate o&amp;g entries'!E4+'Intermediate o&amp;g entries'!K4)</f>
        <v>71707403.212505773</v>
      </c>
      <c r="F39" s="131">
        <f>10^6*('Intermediate o&amp;g entries'!E4+'Intermediate o&amp;g entries'!K4)</f>
        <v>71707403.212505773</v>
      </c>
      <c r="G39" s="131">
        <v>0</v>
      </c>
      <c r="H39" s="131">
        <v>0</v>
      </c>
      <c r="I39" s="131">
        <f>'Unconventional Oil'!C21*'Unconventional Oil'!K21</f>
        <v>28451.353602232972</v>
      </c>
      <c r="J39" s="131">
        <f>'Unconventional Oil'!O20*'Unconventional Oil'!W20+'Unconventional Oil'!O21*'Unconventional Oil'!W21</f>
        <v>651421.79634507699</v>
      </c>
      <c r="K39" s="131">
        <f>'Unconventional Oil'!$AA$24/Oil!$AA$26*'Sankey conversion input'!K25+'Unconventional Oil'!$AA$25/Oil!$AA$27*('Sankey conversion input'!H25+'Sankey conversion input'!N25)-M39</f>
        <v>33019959.551588871</v>
      </c>
      <c r="L39" s="131">
        <f>'Unconventional Oil'!$AA$24/Oil!$AA$26*'Sankey conversion input'!J25+'Unconventional Oil'!$AA$25/Oil!$AA$27*('Sankey conversion input'!G25+'Sankey conversion input'!M25)-N39</f>
        <v>51729119.403883882</v>
      </c>
      <c r="M39" s="131">
        <v>0</v>
      </c>
      <c r="N39" s="131">
        <v>0</v>
      </c>
      <c r="O39" s="131">
        <v>0</v>
      </c>
      <c r="P39" s="131">
        <v>0</v>
      </c>
      <c r="Q39" s="78">
        <f t="shared" ref="Q39:Q50" si="16">SUM(E39,G39,I39,K39,M39)</f>
        <v>104755814.11769688</v>
      </c>
      <c r="R39" s="132">
        <f t="shared" ref="R39:R50" si="17">SUM(F39,H39,J39,L39,N39)</f>
        <v>124087944.41273472</v>
      </c>
      <c r="S39" s="133">
        <f t="shared" ref="S39:S50" si="18">P39</f>
        <v>0</v>
      </c>
      <c r="T39" s="77"/>
    </row>
    <row r="40" spans="1:20" s="11" customFormat="1" ht="14" customHeight="1">
      <c r="A40" s="77"/>
      <c r="B40" s="761"/>
      <c r="C40" s="142" t="s">
        <v>9</v>
      </c>
      <c r="D40" s="134" t="s">
        <v>7</v>
      </c>
      <c r="E40" s="471">
        <v>0</v>
      </c>
      <c r="F40" s="131">
        <f>E40</f>
        <v>0</v>
      </c>
      <c r="G40" s="131">
        <v>0</v>
      </c>
      <c r="H40" s="131">
        <v>0</v>
      </c>
      <c r="I40" s="131">
        <v>0</v>
      </c>
      <c r="J40" s="131">
        <v>0</v>
      </c>
      <c r="K40" s="131">
        <f>'Unconventional Oil'!$AA$24/Oil!$AA$26*'Sankey conversion input'!K26+'Unconventional Oil'!$AA$25/Oil!$AA$27*('Sankey conversion input'!H26+'Sankey conversion input'!N26)-M40</f>
        <v>5708.3569998347784</v>
      </c>
      <c r="L40" s="131">
        <f>'Unconventional Oil'!$AA$24/Oil!$AA$26*'Sankey conversion input'!J26+'Unconventional Oil'!$AA$25/Oil!$AA$27*('Sankey conversion input'!G26+'Sankey conversion input'!M26)-N40</f>
        <v>8314.6801263302841</v>
      </c>
      <c r="M40" s="131">
        <v>0</v>
      </c>
      <c r="N40" s="131">
        <v>0</v>
      </c>
      <c r="O40" s="131">
        <v>0</v>
      </c>
      <c r="P40" s="131">
        <v>0</v>
      </c>
      <c r="Q40" s="78">
        <f t="shared" si="16"/>
        <v>5708.3569998347784</v>
      </c>
      <c r="R40" s="132">
        <f t="shared" si="17"/>
        <v>8314.6801263302841</v>
      </c>
      <c r="S40" s="133">
        <f t="shared" si="18"/>
        <v>0</v>
      </c>
      <c r="T40" s="77"/>
    </row>
    <row r="41" spans="1:20" s="11" customFormat="1" ht="14" customHeight="1">
      <c r="A41" s="77"/>
      <c r="B41" s="761"/>
      <c r="C41" s="142" t="s">
        <v>9</v>
      </c>
      <c r="D41" s="135" t="s">
        <v>1</v>
      </c>
      <c r="E41" s="471">
        <f>10^6*('Intermediate o&amp;g entries'!T9-'Intermediate o&amp;g entries'!K9)</f>
        <v>0</v>
      </c>
      <c r="F41" s="131">
        <f>10^6*('Intermediate o&amp;g entries'!T9)</f>
        <v>2091250</v>
      </c>
      <c r="G41" s="131">
        <v>0</v>
      </c>
      <c r="H41" s="131">
        <v>0</v>
      </c>
      <c r="I41" s="131">
        <v>0</v>
      </c>
      <c r="J41" s="131">
        <v>0</v>
      </c>
      <c r="K41" s="131">
        <f>'Unconventional Oil'!$AA$24/Oil!$AA$26*'Sankey conversion input'!K27+'Unconventional Oil'!$AA$25/Oil!$AA$27*('Sankey conversion input'!H27+'Sankey conversion input'!N27)-M41</f>
        <v>58.506995519215202</v>
      </c>
      <c r="L41" s="131">
        <f>'Unconventional Oil'!$AA$24/Oil!$AA$26*'Sankey conversion input'!J27+'Unconventional Oil'!$AA$25/Oil!$AA$27*('Sankey conversion input'!G27+'Sankey conversion input'!M27)-N41</f>
        <v>65.691760928403326</v>
      </c>
      <c r="M41" s="131">
        <v>0</v>
      </c>
      <c r="N41" s="131">
        <v>0</v>
      </c>
      <c r="O41" s="131">
        <v>0</v>
      </c>
      <c r="P41" s="131">
        <v>0</v>
      </c>
      <c r="Q41" s="78">
        <f t="shared" si="16"/>
        <v>58.506995519215202</v>
      </c>
      <c r="R41" s="132">
        <f t="shared" si="17"/>
        <v>2091315.6917609284</v>
      </c>
      <c r="S41" s="133">
        <f t="shared" si="18"/>
        <v>0</v>
      </c>
      <c r="T41" s="77"/>
    </row>
    <row r="42" spans="1:20" s="11" customFormat="1" ht="14" customHeight="1">
      <c r="A42" s="77"/>
      <c r="B42" s="761"/>
      <c r="C42" s="144" t="s">
        <v>9</v>
      </c>
      <c r="D42" s="145" t="s">
        <v>13</v>
      </c>
      <c r="E42" s="472">
        <f>10^6*('Intermediate o&amp;g entries'!T10-'Intermediate o&amp;g entries'!K10-'Intermediate o&amp;g entries'!E10)</f>
        <v>63465650.614596248</v>
      </c>
      <c r="F42" s="146">
        <f>10^6*('Intermediate o&amp;g entries'!T10)</f>
        <v>67229374.999999985</v>
      </c>
      <c r="G42" s="146">
        <v>0</v>
      </c>
      <c r="H42" s="146">
        <v>0</v>
      </c>
      <c r="I42" s="146">
        <v>0</v>
      </c>
      <c r="J42" s="146">
        <v>0</v>
      </c>
      <c r="K42" s="146">
        <f>'Unconventional Oil'!$AA$24/Oil!$AA$26*'Sankey conversion input'!K28+'Unconventional Oil'!$AA$25/Oil!$AA$27*('Sankey conversion input'!H28+'Sankey conversion input'!N28)-M42</f>
        <v>0</v>
      </c>
      <c r="L42" s="146">
        <f>'Unconventional Oil'!$AA$24/Oil!$AA$26*'Sankey conversion input'!J28+'Unconventional Oil'!$AA$25/Oil!$AA$27*('Sankey conversion input'!G28+'Sankey conversion input'!M28)-N42</f>
        <v>0</v>
      </c>
      <c r="M42" s="146">
        <v>0</v>
      </c>
      <c r="N42" s="146">
        <v>0</v>
      </c>
      <c r="O42" s="146">
        <v>0</v>
      </c>
      <c r="P42" s="146">
        <v>0</v>
      </c>
      <c r="Q42" s="147">
        <f t="shared" si="16"/>
        <v>63465650.614596248</v>
      </c>
      <c r="R42" s="148">
        <f t="shared" si="17"/>
        <v>67229374.999999985</v>
      </c>
      <c r="S42" s="149">
        <f t="shared" si="18"/>
        <v>0</v>
      </c>
      <c r="T42" s="77"/>
    </row>
    <row r="43" spans="1:20" s="11" customFormat="1" ht="14" customHeight="1">
      <c r="A43" s="77"/>
      <c r="B43" s="761"/>
      <c r="C43" s="129" t="s">
        <v>8</v>
      </c>
      <c r="D43" s="130" t="s">
        <v>0</v>
      </c>
      <c r="E43" s="471">
        <f>10^6*('Intermediate o&amp;g entries'!E5+'Intermediate o&amp;g entries'!K5)</f>
        <v>54095058.563820146</v>
      </c>
      <c r="F43" s="131">
        <f>10^6*('Intermediate o&amp;g entries'!E5+'Intermediate o&amp;g entries'!K5)</f>
        <v>54095058.563820146</v>
      </c>
      <c r="G43" s="131">
        <v>0</v>
      </c>
      <c r="H43" s="131">
        <v>0</v>
      </c>
      <c r="I43" s="131">
        <f>'Unconventional Oil'!C21*'Unconventional Oil'!L21</f>
        <v>113805.41440893189</v>
      </c>
      <c r="J43" s="131">
        <f>'Unconventional Oil'!O20*'Unconventional Oil'!X20+'Unconventional Oil'!O21*'Unconventional Oil'!X21</f>
        <v>1048261.0785231977</v>
      </c>
      <c r="K43" s="131">
        <f>'Unconventional Oil'!$AA$24/Oil!$AA$26*'Sankey conversion input'!K21+'Unconventional Oil'!$AA$25/Oil!$AA$27*('Sankey conversion input'!H21+'Sankey conversion input'!N21)-M43</f>
        <v>90312232.742385998</v>
      </c>
      <c r="L43" s="131">
        <f>'Unconventional Oil'!$AA$24/Oil!$AA$26*'Sankey conversion input'!J21+'Unconventional Oil'!$AA$25/Oil!$AA$27*('Sankey conversion input'!G21+'Sankey conversion input'!M21)-N43</f>
        <v>491310271.58730704</v>
      </c>
      <c r="M43" s="131">
        <v>0</v>
      </c>
      <c r="N43" s="131">
        <v>0</v>
      </c>
      <c r="O43" s="131">
        <f>'Unconventional Oil'!C30</f>
        <v>-291845904.53403437</v>
      </c>
      <c r="P43" s="131">
        <f>'Unconventional Oil'!O30</f>
        <v>-291845904.53403437</v>
      </c>
      <c r="Q43" s="78">
        <f t="shared" si="16"/>
        <v>144521096.72061509</v>
      </c>
      <c r="R43" s="132">
        <f t="shared" si="17"/>
        <v>546453591.22965038</v>
      </c>
      <c r="S43" s="133">
        <f t="shared" si="18"/>
        <v>-291845904.53403437</v>
      </c>
      <c r="T43" s="77"/>
    </row>
    <row r="44" spans="1:20" s="11" customFormat="1" ht="14" customHeight="1">
      <c r="A44" s="77"/>
      <c r="B44" s="761"/>
      <c r="C44" s="129" t="s">
        <v>8</v>
      </c>
      <c r="D44" s="134" t="s">
        <v>7</v>
      </c>
      <c r="E44" s="471">
        <v>0</v>
      </c>
      <c r="F44" s="131">
        <f>E44</f>
        <v>0</v>
      </c>
      <c r="G44" s="131">
        <v>0</v>
      </c>
      <c r="H44" s="131">
        <v>0</v>
      </c>
      <c r="I44" s="131">
        <v>0</v>
      </c>
      <c r="J44" s="131">
        <v>0</v>
      </c>
      <c r="K44" s="131">
        <f>'Unconventional Oil'!$AA$24/Oil!$AA$26*'Sankey conversion input'!K22+'Unconventional Oil'!$AA$25/Oil!$AA$27*('Sankey conversion input'!H22+'Sankey conversion input'!N22)-M44</f>
        <v>360059.90005840152</v>
      </c>
      <c r="L44" s="131">
        <f>'Unconventional Oil'!$AA$24/Oil!$AA$26*'Sankey conversion input'!J22+'Unconventional Oil'!$AA$25/Oil!$AA$27*('Sankey conversion input'!G22+'Sankey conversion input'!M22)-N44</f>
        <v>35191533.348416798</v>
      </c>
      <c r="M44" s="131">
        <v>0</v>
      </c>
      <c r="N44" s="131">
        <v>0</v>
      </c>
      <c r="O44" s="131">
        <v>0</v>
      </c>
      <c r="P44" s="131">
        <v>0</v>
      </c>
      <c r="Q44" s="78">
        <f t="shared" si="16"/>
        <v>360059.90005840152</v>
      </c>
      <c r="R44" s="132">
        <f t="shared" si="17"/>
        <v>35191533.348416798</v>
      </c>
      <c r="S44" s="133">
        <f t="shared" si="18"/>
        <v>0</v>
      </c>
      <c r="T44" s="77"/>
    </row>
    <row r="45" spans="1:20" s="11" customFormat="1" ht="14" customHeight="1">
      <c r="A45" s="77"/>
      <c r="B45" s="761"/>
      <c r="C45" s="129" t="s">
        <v>8</v>
      </c>
      <c r="D45" s="135" t="s">
        <v>1</v>
      </c>
      <c r="E45" s="471">
        <v>0</v>
      </c>
      <c r="F45" s="131">
        <f>E45</f>
        <v>0</v>
      </c>
      <c r="G45" s="131">
        <v>0</v>
      </c>
      <c r="H45" s="131">
        <v>0</v>
      </c>
      <c r="I45" s="131">
        <v>0</v>
      </c>
      <c r="J45" s="131">
        <v>0</v>
      </c>
      <c r="K45" s="131">
        <f>'Unconventional Oil'!$AA$24/Oil!$AA$26*'Sankey conversion input'!K23+'Unconventional Oil'!$AA$25/Oil!$AA$27*('Sankey conversion input'!H23+'Sankey conversion input'!N23)-M45</f>
        <v>1606777.3821527259</v>
      </c>
      <c r="L45" s="131">
        <f>'Unconventional Oil'!$AA$24/Oil!$AA$26*'Sankey conversion input'!J23+'Unconventional Oil'!$AA$25/Oil!$AA$27*('Sankey conversion input'!G23+'Sankey conversion input'!M23)-N45</f>
        <v>283479647.60584742</v>
      </c>
      <c r="M45" s="131">
        <v>0</v>
      </c>
      <c r="N45" s="131">
        <v>0</v>
      </c>
      <c r="O45" s="131">
        <v>0</v>
      </c>
      <c r="P45" s="131">
        <v>0</v>
      </c>
      <c r="Q45" s="78">
        <f t="shared" si="16"/>
        <v>1606777.3821527259</v>
      </c>
      <c r="R45" s="132">
        <f t="shared" si="17"/>
        <v>283479647.60584742</v>
      </c>
      <c r="S45" s="133">
        <f t="shared" si="18"/>
        <v>0</v>
      </c>
      <c r="T45" s="77"/>
    </row>
    <row r="46" spans="1:20" s="11" customFormat="1" ht="14" customHeight="1">
      <c r="A46" s="77"/>
      <c r="B46" s="761"/>
      <c r="C46" s="136" t="s">
        <v>8</v>
      </c>
      <c r="D46" s="137" t="s">
        <v>13</v>
      </c>
      <c r="E46" s="473">
        <v>0</v>
      </c>
      <c r="F46" s="138">
        <f>E46</f>
        <v>0</v>
      </c>
      <c r="G46" s="138">
        <v>0</v>
      </c>
      <c r="H46" s="138">
        <v>0</v>
      </c>
      <c r="I46" s="138">
        <v>0</v>
      </c>
      <c r="J46" s="138">
        <v>0</v>
      </c>
      <c r="K46" s="138">
        <f>'Unconventional Oil'!$AA$24/Oil!$AA$26*'Sankey conversion input'!K24+'Unconventional Oil'!$AA$25/Oil!$AA$27*('Sankey conversion input'!H24+'Sankey conversion input'!N24)-M46</f>
        <v>0</v>
      </c>
      <c r="L46" s="138">
        <f>'Unconventional Oil'!$AA$24/Oil!$AA$26*'Sankey conversion input'!J24+'Unconventional Oil'!$AA$25/Oil!$AA$27*('Sankey conversion input'!G24+'Sankey conversion input'!M24)-N46</f>
        <v>0</v>
      </c>
      <c r="M46" s="138">
        <v>0</v>
      </c>
      <c r="N46" s="138">
        <v>0</v>
      </c>
      <c r="O46" s="138">
        <v>0</v>
      </c>
      <c r="P46" s="138">
        <v>0</v>
      </c>
      <c r="Q46" s="139">
        <f t="shared" si="16"/>
        <v>0</v>
      </c>
      <c r="R46" s="140">
        <f t="shared" si="17"/>
        <v>0</v>
      </c>
      <c r="S46" s="141">
        <f t="shared" si="18"/>
        <v>0</v>
      </c>
      <c r="T46" s="77"/>
    </row>
    <row r="47" spans="1:20" s="11" customFormat="1" ht="14" customHeight="1">
      <c r="A47" s="77"/>
      <c r="B47" s="761"/>
      <c r="C47" s="150" t="s">
        <v>10</v>
      </c>
      <c r="D47" s="143" t="s">
        <v>0</v>
      </c>
      <c r="E47" s="471">
        <v>0</v>
      </c>
      <c r="F47" s="131">
        <f>E47</f>
        <v>0</v>
      </c>
      <c r="G47" s="131">
        <v>0</v>
      </c>
      <c r="H47" s="131">
        <v>0</v>
      </c>
      <c r="I47" s="131">
        <v>0</v>
      </c>
      <c r="J47" s="131">
        <v>0</v>
      </c>
      <c r="K47" s="131">
        <f>'Unconventional Oil'!$AA$24/Oil!$AA$26*'Sankey conversion input'!K29+'Unconventional Oil'!$AA$25/Oil!$AA$27*('Sankey conversion input'!H29+'Sankey conversion input'!N29)-M47</f>
        <v>125880.37871172752</v>
      </c>
      <c r="L47" s="131">
        <f>'Unconventional Oil'!$AA$24/Oil!$AA$26*'Sankey conversion input'!J29+'Unconventional Oil'!$AA$25/Oil!$AA$27*('Sankey conversion input'!G29+'Sankey conversion input'!M29)-N47</f>
        <v>592189.78470597719</v>
      </c>
      <c r="M47" s="131">
        <v>0</v>
      </c>
      <c r="N47" s="131">
        <v>0</v>
      </c>
      <c r="O47" s="131">
        <v>0</v>
      </c>
      <c r="P47" s="131">
        <v>0</v>
      </c>
      <c r="Q47" s="78">
        <f t="shared" si="16"/>
        <v>125880.37871172752</v>
      </c>
      <c r="R47" s="132">
        <f t="shared" si="17"/>
        <v>592189.78470597719</v>
      </c>
      <c r="S47" s="133">
        <f t="shared" si="18"/>
        <v>0</v>
      </c>
      <c r="T47" s="77"/>
    </row>
    <row r="48" spans="1:20" s="11" customFormat="1" ht="14" customHeight="1">
      <c r="A48" s="77"/>
      <c r="B48" s="761"/>
      <c r="C48" s="150" t="s">
        <v>10</v>
      </c>
      <c r="D48" s="134" t="s">
        <v>7</v>
      </c>
      <c r="E48" s="471">
        <v>0</v>
      </c>
      <c r="F48" s="131">
        <f>E48</f>
        <v>0</v>
      </c>
      <c r="G48" s="131">
        <v>0</v>
      </c>
      <c r="H48" s="131">
        <v>0</v>
      </c>
      <c r="I48" s="131">
        <v>0</v>
      </c>
      <c r="J48" s="131">
        <v>0</v>
      </c>
      <c r="K48" s="131">
        <f>'Unconventional Oil'!$AA$24/Oil!$AA$26*'Sankey conversion input'!K30+'Unconventional Oil'!$AA$25/Oil!$AA$27*('Sankey conversion input'!H30+'Sankey conversion input'!N30)-M48</f>
        <v>6749.6474414294953</v>
      </c>
      <c r="L48" s="131">
        <f>'Unconventional Oil'!$AA$24/Oil!$AA$26*'Sankey conversion input'!J30+'Unconventional Oil'!$AA$25/Oil!$AA$27*('Sankey conversion input'!G30+'Sankey conversion input'!M30)-N48</f>
        <v>60803.408703678608</v>
      </c>
      <c r="M48" s="131">
        <v>0</v>
      </c>
      <c r="N48" s="131">
        <v>0</v>
      </c>
      <c r="O48" s="131">
        <v>0</v>
      </c>
      <c r="P48" s="131">
        <v>0</v>
      </c>
      <c r="Q48" s="78">
        <f t="shared" si="16"/>
        <v>6749.6474414294953</v>
      </c>
      <c r="R48" s="132">
        <f t="shared" si="17"/>
        <v>60803.408703678608</v>
      </c>
      <c r="S48" s="133">
        <f t="shared" si="18"/>
        <v>0</v>
      </c>
      <c r="T48" s="77"/>
    </row>
    <row r="49" spans="1:20" s="11" customFormat="1" ht="14" customHeight="1">
      <c r="A49" s="77"/>
      <c r="B49" s="761"/>
      <c r="C49" s="150" t="s">
        <v>10</v>
      </c>
      <c r="D49" s="135" t="s">
        <v>1</v>
      </c>
      <c r="E49" s="471">
        <f>10^6*('Intermediate o&amp;g entries'!K9)</f>
        <v>2091250</v>
      </c>
      <c r="F49" s="131">
        <v>0</v>
      </c>
      <c r="G49" s="131">
        <v>0</v>
      </c>
      <c r="H49" s="151">
        <v>0</v>
      </c>
      <c r="I49" s="131">
        <v>0</v>
      </c>
      <c r="J49" s="131">
        <v>0</v>
      </c>
      <c r="K49" s="131">
        <f>'Unconventional Oil'!$AA$24/Oil!$AA$26*'Sankey conversion input'!K31+'Unconventional Oil'!$AA$25/Oil!$AA$27*('Sankey conversion input'!H31+'Sankey conversion input'!N31)-M49</f>
        <v>26077.894829793797</v>
      </c>
      <c r="L49" s="131">
        <f>'Unconventional Oil'!$AA$24/Oil!$AA$26*'Sankey conversion input'!J31+'Unconventional Oil'!$AA$25/Oil!$AA$27*('Sankey conversion input'!G31+'Sankey conversion input'!M31)-N49</f>
        <v>486317.87023342261</v>
      </c>
      <c r="M49" s="131">
        <v>0</v>
      </c>
      <c r="N49" s="131">
        <v>0</v>
      </c>
      <c r="O49" s="131">
        <v>0</v>
      </c>
      <c r="P49" s="131">
        <v>0</v>
      </c>
      <c r="Q49" s="78">
        <f t="shared" si="16"/>
        <v>2117327.8948297938</v>
      </c>
      <c r="R49" s="132">
        <f t="shared" si="17"/>
        <v>486317.87023342261</v>
      </c>
      <c r="S49" s="133">
        <f t="shared" si="18"/>
        <v>0</v>
      </c>
      <c r="T49" s="77"/>
    </row>
    <row r="50" spans="1:20" s="11" customFormat="1" ht="14" customHeight="1" thickBot="1">
      <c r="A50" s="77"/>
      <c r="B50" s="761"/>
      <c r="C50" s="150" t="s">
        <v>10</v>
      </c>
      <c r="D50" s="166" t="s">
        <v>13</v>
      </c>
      <c r="E50" s="471">
        <f>10^6*('Intermediate o&amp;g entries'!E10+'Intermediate o&amp;g entries'!K10)</f>
        <v>3763724.385403736</v>
      </c>
      <c r="F50" s="131">
        <v>0</v>
      </c>
      <c r="G50" s="131">
        <v>0</v>
      </c>
      <c r="H50" s="131">
        <v>0</v>
      </c>
      <c r="I50" s="131">
        <v>0</v>
      </c>
      <c r="J50" s="131">
        <v>0</v>
      </c>
      <c r="K50" s="131">
        <f>'Unconventional Oil'!$AA$24/Oil!$AA$26*'Sankey conversion input'!K32+'Unconventional Oil'!$AA$25/Oil!$AA$27*('Sankey conversion input'!H32+'Sankey conversion input'!N32)-M50</f>
        <v>0</v>
      </c>
      <c r="L50" s="131">
        <f>'Unconventional Oil'!$AA$24/Oil!$AA$26*'Sankey conversion input'!J32+'Unconventional Oil'!$AA$25/Oil!$AA$27*('Sankey conversion input'!G32+'Sankey conversion input'!M32)-N50</f>
        <v>0</v>
      </c>
      <c r="M50" s="131">
        <v>0</v>
      </c>
      <c r="N50" s="131">
        <v>0</v>
      </c>
      <c r="O50" s="131">
        <v>0</v>
      </c>
      <c r="P50" s="131">
        <v>0</v>
      </c>
      <c r="Q50" s="78">
        <f t="shared" si="16"/>
        <v>3763724.385403736</v>
      </c>
      <c r="R50" s="132">
        <f t="shared" si="17"/>
        <v>0</v>
      </c>
      <c r="S50" s="133">
        <f t="shared" si="18"/>
        <v>0</v>
      </c>
      <c r="T50" s="77"/>
    </row>
    <row r="51" spans="1:20" s="11" customFormat="1" ht="30" customHeight="1" thickBot="1">
      <c r="A51" s="77"/>
      <c r="B51" s="777" t="s">
        <v>142</v>
      </c>
      <c r="C51" s="778"/>
      <c r="D51" s="778"/>
      <c r="E51" s="778"/>
      <c r="F51" s="778"/>
      <c r="G51" s="778"/>
      <c r="H51" s="778"/>
      <c r="I51" s="778"/>
      <c r="J51" s="778"/>
      <c r="K51" s="778"/>
      <c r="L51" s="778"/>
      <c r="M51" s="778"/>
      <c r="N51" s="778"/>
      <c r="O51" s="778"/>
      <c r="P51" s="778"/>
      <c r="Q51" s="778"/>
      <c r="R51" s="778"/>
      <c r="S51" s="779"/>
      <c r="T51" s="77"/>
    </row>
    <row r="52" spans="1:20" s="11" customFormat="1" ht="14" customHeight="1">
      <c r="A52" s="77"/>
      <c r="B52" s="761" t="s">
        <v>32</v>
      </c>
      <c r="C52" s="120"/>
      <c r="D52" s="156"/>
      <c r="E52" s="759" t="s">
        <v>591</v>
      </c>
      <c r="F52" s="760"/>
      <c r="G52" s="756" t="s">
        <v>66</v>
      </c>
      <c r="H52" s="756"/>
      <c r="I52" s="742" t="s">
        <v>67</v>
      </c>
      <c r="J52" s="742"/>
      <c r="K52" s="743" t="s">
        <v>68</v>
      </c>
      <c r="L52" s="743"/>
      <c r="M52" s="744" t="s">
        <v>69</v>
      </c>
      <c r="N52" s="744"/>
      <c r="O52" s="745" t="s">
        <v>413</v>
      </c>
      <c r="P52" s="745"/>
      <c r="Q52" s="121" t="s">
        <v>763</v>
      </c>
      <c r="R52" s="122" t="s">
        <v>763</v>
      </c>
      <c r="S52" s="123" t="s">
        <v>763</v>
      </c>
      <c r="T52" s="77"/>
    </row>
    <row r="53" spans="1:20" s="11" customFormat="1" ht="14" customHeight="1">
      <c r="A53" s="77"/>
      <c r="B53" s="761"/>
      <c r="C53" s="120"/>
      <c r="D53" s="156"/>
      <c r="E53" s="469" t="s">
        <v>209</v>
      </c>
      <c r="F53" s="414" t="s">
        <v>208</v>
      </c>
      <c r="G53" s="414" t="s">
        <v>209</v>
      </c>
      <c r="H53" s="414" t="s">
        <v>208</v>
      </c>
      <c r="I53" s="414" t="s">
        <v>209</v>
      </c>
      <c r="J53" s="414" t="s">
        <v>208</v>
      </c>
      <c r="K53" s="414" t="s">
        <v>209</v>
      </c>
      <c r="L53" s="414" t="s">
        <v>208</v>
      </c>
      <c r="M53" s="414" t="s">
        <v>209</v>
      </c>
      <c r="N53" s="414" t="s">
        <v>208</v>
      </c>
      <c r="O53" s="414" t="s">
        <v>209</v>
      </c>
      <c r="P53" s="414" t="s">
        <v>208</v>
      </c>
      <c r="Q53" s="121" t="s">
        <v>209</v>
      </c>
      <c r="R53" s="468" t="s">
        <v>208</v>
      </c>
      <c r="S53" s="123" t="s">
        <v>413</v>
      </c>
      <c r="T53" s="77"/>
    </row>
    <row r="54" spans="1:20" s="11" customFormat="1" ht="28" customHeight="1">
      <c r="A54" s="77"/>
      <c r="B54" s="761"/>
      <c r="C54" s="124" t="s">
        <v>761</v>
      </c>
      <c r="D54" s="125" t="s">
        <v>762</v>
      </c>
      <c r="E54" s="126">
        <f t="shared" ref="E54:S54" si="19">SUM(E55:E66)</f>
        <v>3529635973.726007</v>
      </c>
      <c r="F54" s="126">
        <f t="shared" si="19"/>
        <v>4377305574.9254141</v>
      </c>
      <c r="G54" s="126">
        <f t="shared" si="19"/>
        <v>0</v>
      </c>
      <c r="H54" s="126">
        <f t="shared" si="19"/>
        <v>0</v>
      </c>
      <c r="I54" s="126">
        <f t="shared" si="19"/>
        <v>0</v>
      </c>
      <c r="J54" s="126">
        <f t="shared" si="19"/>
        <v>0</v>
      </c>
      <c r="K54" s="126">
        <f t="shared" si="19"/>
        <v>152895462.81671003</v>
      </c>
      <c r="L54" s="126">
        <f t="shared" si="19"/>
        <v>169883847.57412225</v>
      </c>
      <c r="M54" s="126">
        <f t="shared" si="19"/>
        <v>0</v>
      </c>
      <c r="N54" s="126">
        <f t="shared" si="19"/>
        <v>0</v>
      </c>
      <c r="O54" s="126">
        <f t="shared" si="19"/>
        <v>-51476826.815685607</v>
      </c>
      <c r="P54" s="126">
        <f t="shared" si="19"/>
        <v>-51476826.815685607</v>
      </c>
      <c r="Q54" s="79">
        <f t="shared" si="19"/>
        <v>3682531436.5427175</v>
      </c>
      <c r="R54" s="127">
        <f t="shared" si="19"/>
        <v>4547189422.4995365</v>
      </c>
      <c r="S54" s="128">
        <f t="shared" si="19"/>
        <v>-51476826.815685607</v>
      </c>
      <c r="T54" s="77"/>
    </row>
    <row r="55" spans="1:20" s="11" customFormat="1" ht="14" customHeight="1">
      <c r="A55" s="77"/>
      <c r="B55" s="761"/>
      <c r="C55" s="142" t="s">
        <v>9</v>
      </c>
      <c r="D55" s="143" t="s">
        <v>0</v>
      </c>
      <c r="E55" s="470">
        <f>Ethanol!C15*Ethanol!K15</f>
        <v>3353154175.0397067</v>
      </c>
      <c r="F55" s="131">
        <f>Ethanol!O15*Ethanol!W15</f>
        <v>4158440296.179143</v>
      </c>
      <c r="G55" s="131">
        <v>0</v>
      </c>
      <c r="H55" s="131">
        <v>0</v>
      </c>
      <c r="I55" s="131">
        <v>0</v>
      </c>
      <c r="J55" s="131">
        <v>0</v>
      </c>
      <c r="K55" s="131">
        <f>Ethanol!C18*Ethanol!K18</f>
        <v>145250689.67587453</v>
      </c>
      <c r="L55" s="131">
        <f>Ethanol!O18*Ethanol!W18</f>
        <v>161389655.19541612</v>
      </c>
      <c r="M55" s="131">
        <v>0</v>
      </c>
      <c r="N55" s="131">
        <v>0</v>
      </c>
      <c r="O55" s="131">
        <v>0</v>
      </c>
      <c r="P55" s="131">
        <v>0</v>
      </c>
      <c r="Q55" s="78">
        <f t="shared" ref="Q55:Q66" si="20">SUM(E55,G55,I55,K55,M55)</f>
        <v>3498404864.7155814</v>
      </c>
      <c r="R55" s="132">
        <f t="shared" ref="R55:R66" si="21">SUM(F55,H55,J55,L55,N55)</f>
        <v>4319829951.3745594</v>
      </c>
      <c r="S55" s="133">
        <f t="shared" ref="S55:S66" si="22">P55</f>
        <v>0</v>
      </c>
      <c r="T55" s="77"/>
    </row>
    <row r="56" spans="1:20" s="11" customFormat="1" ht="14" customHeight="1">
      <c r="A56" s="77"/>
      <c r="B56" s="761"/>
      <c r="C56" s="142" t="s">
        <v>9</v>
      </c>
      <c r="D56" s="134" t="s">
        <v>7</v>
      </c>
      <c r="E56" s="471">
        <v>0</v>
      </c>
      <c r="F56" s="131">
        <v>0</v>
      </c>
      <c r="G56" s="131">
        <v>0</v>
      </c>
      <c r="H56" s="131">
        <v>0</v>
      </c>
      <c r="I56" s="131">
        <v>0</v>
      </c>
      <c r="J56" s="131">
        <v>0</v>
      </c>
      <c r="K56" s="131">
        <v>0</v>
      </c>
      <c r="L56" s="131">
        <v>0</v>
      </c>
      <c r="M56" s="131">
        <v>0</v>
      </c>
      <c r="N56" s="131">
        <v>0</v>
      </c>
      <c r="O56" s="131">
        <v>0</v>
      </c>
      <c r="P56" s="131">
        <v>0</v>
      </c>
      <c r="Q56" s="78">
        <f t="shared" si="20"/>
        <v>0</v>
      </c>
      <c r="R56" s="132">
        <f t="shared" si="21"/>
        <v>0</v>
      </c>
      <c r="S56" s="133">
        <f t="shared" si="22"/>
        <v>0</v>
      </c>
      <c r="T56" s="77"/>
    </row>
    <row r="57" spans="1:20" s="11" customFormat="1" ht="14" customHeight="1">
      <c r="A57" s="77"/>
      <c r="B57" s="761"/>
      <c r="C57" s="142" t="s">
        <v>9</v>
      </c>
      <c r="D57" s="135" t="s">
        <v>1</v>
      </c>
      <c r="E57" s="471">
        <v>0</v>
      </c>
      <c r="F57" s="131">
        <v>0</v>
      </c>
      <c r="G57" s="131">
        <v>0</v>
      </c>
      <c r="H57" s="131">
        <v>0</v>
      </c>
      <c r="I57" s="131">
        <v>0</v>
      </c>
      <c r="J57" s="131">
        <v>0</v>
      </c>
      <c r="K57" s="131">
        <v>0</v>
      </c>
      <c r="L57" s="131">
        <v>0</v>
      </c>
      <c r="M57" s="131">
        <v>0</v>
      </c>
      <c r="N57" s="131">
        <v>0</v>
      </c>
      <c r="O57" s="131">
        <v>0</v>
      </c>
      <c r="P57" s="131">
        <v>0</v>
      </c>
      <c r="Q57" s="78">
        <f t="shared" si="20"/>
        <v>0</v>
      </c>
      <c r="R57" s="132">
        <f t="shared" si="21"/>
        <v>0</v>
      </c>
      <c r="S57" s="133">
        <f t="shared" si="22"/>
        <v>0</v>
      </c>
      <c r="T57" s="77"/>
    </row>
    <row r="58" spans="1:20" s="11" customFormat="1" ht="14" customHeight="1">
      <c r="A58" s="77"/>
      <c r="B58" s="761"/>
      <c r="C58" s="144" t="s">
        <v>9</v>
      </c>
      <c r="D58" s="145" t="s">
        <v>13</v>
      </c>
      <c r="E58" s="472">
        <v>0</v>
      </c>
      <c r="F58" s="146">
        <v>0</v>
      </c>
      <c r="G58" s="146">
        <v>0</v>
      </c>
      <c r="H58" s="146">
        <v>0</v>
      </c>
      <c r="I58" s="146">
        <v>0</v>
      </c>
      <c r="J58" s="146">
        <v>0</v>
      </c>
      <c r="K58" s="146">
        <v>0</v>
      </c>
      <c r="L58" s="146">
        <v>0</v>
      </c>
      <c r="M58" s="146">
        <v>0</v>
      </c>
      <c r="N58" s="146">
        <v>0</v>
      </c>
      <c r="O58" s="146">
        <v>0</v>
      </c>
      <c r="P58" s="146">
        <v>0</v>
      </c>
      <c r="Q58" s="147">
        <f t="shared" si="20"/>
        <v>0</v>
      </c>
      <c r="R58" s="148">
        <f t="shared" si="21"/>
        <v>0</v>
      </c>
      <c r="S58" s="149">
        <f t="shared" si="22"/>
        <v>0</v>
      </c>
      <c r="T58" s="77"/>
    </row>
    <row r="59" spans="1:20" s="11" customFormat="1" ht="14" customHeight="1">
      <c r="A59" s="77"/>
      <c r="B59" s="761"/>
      <c r="C59" s="129" t="s">
        <v>8</v>
      </c>
      <c r="D59" s="130" t="s">
        <v>0</v>
      </c>
      <c r="E59" s="471">
        <f>Ethanol!C15*Ethanol!L15</f>
        <v>176481798.68630037</v>
      </c>
      <c r="F59" s="131">
        <f>Ethanol!O15*Ethanol!X15</f>
        <v>218865278.74627072</v>
      </c>
      <c r="G59" s="131">
        <v>0</v>
      </c>
      <c r="H59" s="131">
        <v>0</v>
      </c>
      <c r="I59" s="131">
        <v>0</v>
      </c>
      <c r="J59" s="131">
        <v>0</v>
      </c>
      <c r="K59" s="131">
        <f>Ethanol!C18*Ethanol!L18</f>
        <v>7644773.1408355013</v>
      </c>
      <c r="L59" s="131">
        <f>Ethanol!O18*Ethanol!X18</f>
        <v>8494192.3787061125</v>
      </c>
      <c r="M59" s="131">
        <v>0</v>
      </c>
      <c r="N59" s="131">
        <v>0</v>
      </c>
      <c r="O59" s="131">
        <f>Ethanol!C21</f>
        <v>-51476826.815685607</v>
      </c>
      <c r="P59" s="131">
        <f>Ethanol!O21</f>
        <v>-51476826.815685607</v>
      </c>
      <c r="Q59" s="78">
        <f t="shared" si="20"/>
        <v>184126571.82713586</v>
      </c>
      <c r="R59" s="132">
        <f t="shared" si="21"/>
        <v>227359471.12497681</v>
      </c>
      <c r="S59" s="133">
        <f t="shared" si="22"/>
        <v>-51476826.815685607</v>
      </c>
      <c r="T59" s="77"/>
    </row>
    <row r="60" spans="1:20" s="11" customFormat="1" ht="14" customHeight="1">
      <c r="A60" s="77"/>
      <c r="B60" s="761"/>
      <c r="C60" s="129" t="s">
        <v>8</v>
      </c>
      <c r="D60" s="134" t="s">
        <v>7</v>
      </c>
      <c r="E60" s="471">
        <v>0</v>
      </c>
      <c r="F60" s="131">
        <v>0</v>
      </c>
      <c r="G60" s="131">
        <v>0</v>
      </c>
      <c r="H60" s="131">
        <v>0</v>
      </c>
      <c r="I60" s="131">
        <v>0</v>
      </c>
      <c r="J60" s="131">
        <v>0</v>
      </c>
      <c r="K60" s="131">
        <v>0</v>
      </c>
      <c r="L60" s="131">
        <v>0</v>
      </c>
      <c r="M60" s="131">
        <v>0</v>
      </c>
      <c r="N60" s="131">
        <v>0</v>
      </c>
      <c r="O60" s="131">
        <v>0</v>
      </c>
      <c r="P60" s="131">
        <v>0</v>
      </c>
      <c r="Q60" s="78">
        <f t="shared" si="20"/>
        <v>0</v>
      </c>
      <c r="R60" s="132">
        <f t="shared" si="21"/>
        <v>0</v>
      </c>
      <c r="S60" s="133">
        <f t="shared" si="22"/>
        <v>0</v>
      </c>
      <c r="T60" s="77"/>
    </row>
    <row r="61" spans="1:20" s="11" customFormat="1" ht="14" customHeight="1">
      <c r="A61" s="77"/>
      <c r="B61" s="761"/>
      <c r="C61" s="129" t="s">
        <v>8</v>
      </c>
      <c r="D61" s="135" t="s">
        <v>1</v>
      </c>
      <c r="E61" s="471">
        <v>0</v>
      </c>
      <c r="F61" s="131">
        <v>0</v>
      </c>
      <c r="G61" s="131">
        <v>0</v>
      </c>
      <c r="H61" s="131">
        <v>0</v>
      </c>
      <c r="I61" s="131">
        <v>0</v>
      </c>
      <c r="J61" s="131">
        <v>0</v>
      </c>
      <c r="K61" s="131">
        <v>0</v>
      </c>
      <c r="L61" s="131">
        <v>0</v>
      </c>
      <c r="M61" s="131">
        <v>0</v>
      </c>
      <c r="N61" s="131">
        <v>0</v>
      </c>
      <c r="O61" s="131">
        <v>0</v>
      </c>
      <c r="P61" s="131">
        <v>0</v>
      </c>
      <c r="Q61" s="78">
        <f t="shared" si="20"/>
        <v>0</v>
      </c>
      <c r="R61" s="132">
        <f t="shared" si="21"/>
        <v>0</v>
      </c>
      <c r="S61" s="133">
        <f t="shared" si="22"/>
        <v>0</v>
      </c>
      <c r="T61" s="77"/>
    </row>
    <row r="62" spans="1:20" s="11" customFormat="1" ht="14" customHeight="1">
      <c r="A62" s="77"/>
      <c r="B62" s="761"/>
      <c r="C62" s="136" t="s">
        <v>8</v>
      </c>
      <c r="D62" s="137" t="s">
        <v>13</v>
      </c>
      <c r="E62" s="473">
        <v>0</v>
      </c>
      <c r="F62" s="138">
        <v>0</v>
      </c>
      <c r="G62" s="138">
        <v>0</v>
      </c>
      <c r="H62" s="138">
        <v>0</v>
      </c>
      <c r="I62" s="138">
        <v>0</v>
      </c>
      <c r="J62" s="138">
        <v>0</v>
      </c>
      <c r="K62" s="138">
        <v>0</v>
      </c>
      <c r="L62" s="138">
        <v>0</v>
      </c>
      <c r="M62" s="138">
        <v>0</v>
      </c>
      <c r="N62" s="138">
        <v>0</v>
      </c>
      <c r="O62" s="138">
        <v>0</v>
      </c>
      <c r="P62" s="138">
        <v>0</v>
      </c>
      <c r="Q62" s="139">
        <f t="shared" si="20"/>
        <v>0</v>
      </c>
      <c r="R62" s="140">
        <f t="shared" si="21"/>
        <v>0</v>
      </c>
      <c r="S62" s="141">
        <f t="shared" si="22"/>
        <v>0</v>
      </c>
      <c r="T62" s="77"/>
    </row>
    <row r="63" spans="1:20" s="11" customFormat="1" ht="14" customHeight="1">
      <c r="A63" s="77"/>
      <c r="B63" s="761"/>
      <c r="C63" s="150" t="s">
        <v>10</v>
      </c>
      <c r="D63" s="143" t="s">
        <v>0</v>
      </c>
      <c r="E63" s="471">
        <v>0</v>
      </c>
      <c r="F63" s="131">
        <v>0</v>
      </c>
      <c r="G63" s="131">
        <v>0</v>
      </c>
      <c r="H63" s="131">
        <v>0</v>
      </c>
      <c r="I63" s="131">
        <v>0</v>
      </c>
      <c r="J63" s="131">
        <v>0</v>
      </c>
      <c r="K63" s="131">
        <v>0</v>
      </c>
      <c r="L63" s="131">
        <v>0</v>
      </c>
      <c r="M63" s="131">
        <v>0</v>
      </c>
      <c r="N63" s="131">
        <v>0</v>
      </c>
      <c r="O63" s="131">
        <v>0</v>
      </c>
      <c r="P63" s="131">
        <v>0</v>
      </c>
      <c r="Q63" s="78">
        <f t="shared" si="20"/>
        <v>0</v>
      </c>
      <c r="R63" s="132">
        <f t="shared" si="21"/>
        <v>0</v>
      </c>
      <c r="S63" s="133">
        <f t="shared" si="22"/>
        <v>0</v>
      </c>
      <c r="T63" s="77"/>
    </row>
    <row r="64" spans="1:20" s="11" customFormat="1" ht="14" customHeight="1">
      <c r="A64" s="77"/>
      <c r="B64" s="761"/>
      <c r="C64" s="150" t="s">
        <v>10</v>
      </c>
      <c r="D64" s="134" t="s">
        <v>7</v>
      </c>
      <c r="E64" s="471">
        <v>0</v>
      </c>
      <c r="F64" s="131">
        <v>0</v>
      </c>
      <c r="G64" s="131">
        <v>0</v>
      </c>
      <c r="H64" s="131">
        <v>0</v>
      </c>
      <c r="I64" s="131">
        <v>0</v>
      </c>
      <c r="J64" s="131">
        <v>0</v>
      </c>
      <c r="K64" s="131">
        <v>0</v>
      </c>
      <c r="L64" s="131">
        <v>0</v>
      </c>
      <c r="M64" s="131">
        <v>0</v>
      </c>
      <c r="N64" s="131">
        <v>0</v>
      </c>
      <c r="O64" s="131">
        <v>0</v>
      </c>
      <c r="P64" s="131">
        <v>0</v>
      </c>
      <c r="Q64" s="78">
        <f t="shared" si="20"/>
        <v>0</v>
      </c>
      <c r="R64" s="132">
        <f t="shared" si="21"/>
        <v>0</v>
      </c>
      <c r="S64" s="133">
        <f t="shared" si="22"/>
        <v>0</v>
      </c>
      <c r="T64" s="77"/>
    </row>
    <row r="65" spans="1:20" s="11" customFormat="1" ht="14" customHeight="1">
      <c r="A65" s="77"/>
      <c r="B65" s="761"/>
      <c r="C65" s="150" t="s">
        <v>10</v>
      </c>
      <c r="D65" s="135" t="s">
        <v>1</v>
      </c>
      <c r="E65" s="471">
        <v>0</v>
      </c>
      <c r="F65" s="131">
        <v>0</v>
      </c>
      <c r="G65" s="131">
        <v>0</v>
      </c>
      <c r="H65" s="151">
        <v>0</v>
      </c>
      <c r="I65" s="131">
        <v>0</v>
      </c>
      <c r="J65" s="131">
        <v>0</v>
      </c>
      <c r="K65" s="131">
        <v>0</v>
      </c>
      <c r="L65" s="131">
        <v>0</v>
      </c>
      <c r="M65" s="131">
        <v>0</v>
      </c>
      <c r="N65" s="131">
        <v>0</v>
      </c>
      <c r="O65" s="131">
        <v>0</v>
      </c>
      <c r="P65" s="131">
        <v>0</v>
      </c>
      <c r="Q65" s="78">
        <f t="shared" si="20"/>
        <v>0</v>
      </c>
      <c r="R65" s="132">
        <f t="shared" si="21"/>
        <v>0</v>
      </c>
      <c r="S65" s="133">
        <f t="shared" si="22"/>
        <v>0</v>
      </c>
      <c r="T65" s="77"/>
    </row>
    <row r="66" spans="1:20" s="11" customFormat="1" ht="14" customHeight="1" thickBot="1">
      <c r="A66" s="77"/>
      <c r="B66" s="761"/>
      <c r="C66" s="150" t="s">
        <v>10</v>
      </c>
      <c r="D66" s="166" t="s">
        <v>13</v>
      </c>
      <c r="E66" s="471">
        <v>0</v>
      </c>
      <c r="F66" s="131">
        <v>0</v>
      </c>
      <c r="G66" s="131">
        <v>0</v>
      </c>
      <c r="H66" s="131">
        <v>0</v>
      </c>
      <c r="I66" s="131">
        <v>0</v>
      </c>
      <c r="J66" s="131">
        <v>0</v>
      </c>
      <c r="K66" s="131">
        <v>0</v>
      </c>
      <c r="L66" s="131">
        <v>0</v>
      </c>
      <c r="M66" s="131">
        <v>0</v>
      </c>
      <c r="N66" s="131">
        <v>0</v>
      </c>
      <c r="O66" s="131">
        <v>0</v>
      </c>
      <c r="P66" s="131">
        <v>0</v>
      </c>
      <c r="Q66" s="78">
        <f t="shared" si="20"/>
        <v>0</v>
      </c>
      <c r="R66" s="132">
        <f t="shared" si="21"/>
        <v>0</v>
      </c>
      <c r="S66" s="133">
        <f t="shared" si="22"/>
        <v>0</v>
      </c>
      <c r="T66" s="77"/>
    </row>
    <row r="67" spans="1:20" s="11" customFormat="1" ht="30" customHeight="1" thickBot="1">
      <c r="A67" s="77"/>
      <c r="B67" s="774" t="s">
        <v>143</v>
      </c>
      <c r="C67" s="775"/>
      <c r="D67" s="775"/>
      <c r="E67" s="775"/>
      <c r="F67" s="775"/>
      <c r="G67" s="775"/>
      <c r="H67" s="775"/>
      <c r="I67" s="775"/>
      <c r="J67" s="775"/>
      <c r="K67" s="775"/>
      <c r="L67" s="775"/>
      <c r="M67" s="775"/>
      <c r="N67" s="775"/>
      <c r="O67" s="775"/>
      <c r="P67" s="775"/>
      <c r="Q67" s="775"/>
      <c r="R67" s="775"/>
      <c r="S67" s="776"/>
      <c r="T67" s="77"/>
    </row>
    <row r="68" spans="1:20" s="11" customFormat="1" ht="14" customHeight="1">
      <c r="A68" s="77"/>
      <c r="B68" s="761" t="s">
        <v>32</v>
      </c>
      <c r="C68" s="120"/>
      <c r="D68" s="156"/>
      <c r="E68" s="759" t="s">
        <v>591</v>
      </c>
      <c r="F68" s="760"/>
      <c r="G68" s="756" t="s">
        <v>66</v>
      </c>
      <c r="H68" s="756"/>
      <c r="I68" s="742" t="s">
        <v>67</v>
      </c>
      <c r="J68" s="742"/>
      <c r="K68" s="743" t="s">
        <v>68</v>
      </c>
      <c r="L68" s="743"/>
      <c r="M68" s="744" t="s">
        <v>69</v>
      </c>
      <c r="N68" s="744"/>
      <c r="O68" s="745" t="s">
        <v>413</v>
      </c>
      <c r="P68" s="745"/>
      <c r="Q68" s="121" t="s">
        <v>763</v>
      </c>
      <c r="R68" s="122" t="s">
        <v>763</v>
      </c>
      <c r="S68" s="123" t="s">
        <v>763</v>
      </c>
      <c r="T68" s="77"/>
    </row>
    <row r="69" spans="1:20" s="11" customFormat="1" ht="14" customHeight="1">
      <c r="A69" s="77"/>
      <c r="B69" s="761"/>
      <c r="C69" s="120"/>
      <c r="D69" s="156"/>
      <c r="E69" s="469" t="s">
        <v>209</v>
      </c>
      <c r="F69" s="414" t="s">
        <v>208</v>
      </c>
      <c r="G69" s="414" t="s">
        <v>209</v>
      </c>
      <c r="H69" s="414" t="s">
        <v>208</v>
      </c>
      <c r="I69" s="414" t="s">
        <v>209</v>
      </c>
      <c r="J69" s="414" t="s">
        <v>208</v>
      </c>
      <c r="K69" s="414" t="s">
        <v>209</v>
      </c>
      <c r="L69" s="414" t="s">
        <v>208</v>
      </c>
      <c r="M69" s="414" t="s">
        <v>209</v>
      </c>
      <c r="N69" s="414" t="s">
        <v>208</v>
      </c>
      <c r="O69" s="414" t="s">
        <v>209</v>
      </c>
      <c r="P69" s="414" t="s">
        <v>208</v>
      </c>
      <c r="Q69" s="121" t="s">
        <v>209</v>
      </c>
      <c r="R69" s="468" t="s">
        <v>208</v>
      </c>
      <c r="S69" s="123" t="s">
        <v>413</v>
      </c>
      <c r="T69" s="77"/>
    </row>
    <row r="70" spans="1:20" s="11" customFormat="1" ht="28" customHeight="1">
      <c r="A70" s="77"/>
      <c r="B70" s="761"/>
      <c r="C70" s="124" t="s">
        <v>761</v>
      </c>
      <c r="D70" s="125" t="s">
        <v>762</v>
      </c>
      <c r="E70" s="126">
        <f t="shared" ref="E70:S70" si="23">SUM(E71:E82)</f>
        <v>492800803.57770145</v>
      </c>
      <c r="F70" s="126">
        <f t="shared" si="23"/>
        <v>619383133.52318871</v>
      </c>
      <c r="G70" s="126">
        <f t="shared" si="23"/>
        <v>583570.75952631584</v>
      </c>
      <c r="H70" s="126">
        <f t="shared" si="23"/>
        <v>648411.95502923976</v>
      </c>
      <c r="I70" s="126">
        <f t="shared" si="23"/>
        <v>0</v>
      </c>
      <c r="J70" s="126">
        <f t="shared" si="23"/>
        <v>0</v>
      </c>
      <c r="K70" s="126">
        <f t="shared" si="23"/>
        <v>1491489.3940999999</v>
      </c>
      <c r="L70" s="126">
        <f t="shared" si="23"/>
        <v>1657210.4378888886</v>
      </c>
      <c r="M70" s="126">
        <f t="shared" si="23"/>
        <v>0</v>
      </c>
      <c r="N70" s="126">
        <f t="shared" si="23"/>
        <v>0</v>
      </c>
      <c r="O70" s="126">
        <f t="shared" si="23"/>
        <v>-6434118.3908696994</v>
      </c>
      <c r="P70" s="126">
        <f t="shared" si="23"/>
        <v>-6434118.3908696994</v>
      </c>
      <c r="Q70" s="79">
        <f t="shared" si="23"/>
        <v>494875863.73132777</v>
      </c>
      <c r="R70" s="127">
        <f t="shared" si="23"/>
        <v>621688755.91610694</v>
      </c>
      <c r="S70" s="128">
        <f t="shared" si="23"/>
        <v>-6434118.3908696994</v>
      </c>
      <c r="T70" s="77"/>
    </row>
    <row r="71" spans="1:20" s="11" customFormat="1" ht="14" customHeight="1">
      <c r="A71" s="77"/>
      <c r="B71" s="761"/>
      <c r="C71" s="142" t="s">
        <v>9</v>
      </c>
      <c r="D71" s="143" t="s">
        <v>0</v>
      </c>
      <c r="E71" s="470">
        <f>SUMPRODUCT(Biodiesel!C15:C16,Biodiesel!K15:K16)</f>
        <v>458179250.20908082</v>
      </c>
      <c r="F71" s="131">
        <f>SUMPRODUCT(Biodiesel!O15:O16,Biodiesel!W15:W16)</f>
        <v>575788354.20305908</v>
      </c>
      <c r="G71" s="131">
        <f>Biodiesel!C19*Biodiesel!K19</f>
        <v>536885.09876421059</v>
      </c>
      <c r="H71" s="131">
        <f>Biodiesel!O19*Biodiesel!W19</f>
        <v>596538.9986269006</v>
      </c>
      <c r="I71" s="131">
        <v>0</v>
      </c>
      <c r="J71" s="131">
        <v>0</v>
      </c>
      <c r="K71" s="131">
        <f>Biodiesel!C22*Biodiesel!K22</f>
        <v>1372170.242572</v>
      </c>
      <c r="L71" s="131">
        <f>Biodiesel!O22*Biodiesel!W22</f>
        <v>1524633.6028577776</v>
      </c>
      <c r="M71" s="131">
        <v>0</v>
      </c>
      <c r="N71" s="131">
        <v>0</v>
      </c>
      <c r="O71" s="131">
        <v>0</v>
      </c>
      <c r="P71" s="131">
        <v>0</v>
      </c>
      <c r="Q71" s="78">
        <f t="shared" ref="Q71:Q82" si="24">SUM(E71,G71,I71,K71,M71)</f>
        <v>460088305.55041701</v>
      </c>
      <c r="R71" s="132">
        <f t="shared" ref="R71:R82" si="25">SUM(F71,H71,J71,L71,N71)</f>
        <v>577909526.80454385</v>
      </c>
      <c r="S71" s="133">
        <f t="shared" ref="S71:S82" si="26">P71</f>
        <v>0</v>
      </c>
      <c r="T71" s="77"/>
    </row>
    <row r="72" spans="1:20" s="11" customFormat="1" ht="14" customHeight="1">
      <c r="A72" s="77"/>
      <c r="B72" s="761"/>
      <c r="C72" s="142" t="s">
        <v>9</v>
      </c>
      <c r="D72" s="134" t="s">
        <v>7</v>
      </c>
      <c r="E72" s="471">
        <v>0</v>
      </c>
      <c r="F72" s="131">
        <v>0</v>
      </c>
      <c r="G72" s="131">
        <v>0</v>
      </c>
      <c r="H72" s="131">
        <v>0</v>
      </c>
      <c r="I72" s="131">
        <v>0</v>
      </c>
      <c r="J72" s="131">
        <v>0</v>
      </c>
      <c r="K72" s="131">
        <v>0</v>
      </c>
      <c r="L72" s="131">
        <v>0</v>
      </c>
      <c r="M72" s="131">
        <v>0</v>
      </c>
      <c r="N72" s="131">
        <v>0</v>
      </c>
      <c r="O72" s="131">
        <v>0</v>
      </c>
      <c r="P72" s="131">
        <v>0</v>
      </c>
      <c r="Q72" s="78">
        <f t="shared" si="24"/>
        <v>0</v>
      </c>
      <c r="R72" s="132">
        <f t="shared" si="25"/>
        <v>0</v>
      </c>
      <c r="S72" s="133">
        <f t="shared" si="26"/>
        <v>0</v>
      </c>
      <c r="T72" s="77"/>
    </row>
    <row r="73" spans="1:20" s="11" customFormat="1" ht="14" customHeight="1">
      <c r="A73" s="77"/>
      <c r="B73" s="761"/>
      <c r="C73" s="142" t="s">
        <v>9</v>
      </c>
      <c r="D73" s="135" t="s">
        <v>1</v>
      </c>
      <c r="E73" s="471">
        <v>0</v>
      </c>
      <c r="F73" s="131">
        <v>0</v>
      </c>
      <c r="G73" s="131">
        <v>0</v>
      </c>
      <c r="H73" s="131">
        <v>0</v>
      </c>
      <c r="I73" s="131">
        <v>0</v>
      </c>
      <c r="J73" s="131">
        <v>0</v>
      </c>
      <c r="K73" s="131">
        <v>0</v>
      </c>
      <c r="L73" s="131">
        <v>0</v>
      </c>
      <c r="M73" s="131">
        <v>0</v>
      </c>
      <c r="N73" s="131">
        <v>0</v>
      </c>
      <c r="O73" s="131">
        <v>0</v>
      </c>
      <c r="P73" s="131">
        <v>0</v>
      </c>
      <c r="Q73" s="78">
        <f t="shared" si="24"/>
        <v>0</v>
      </c>
      <c r="R73" s="132">
        <f t="shared" si="25"/>
        <v>0</v>
      </c>
      <c r="S73" s="133">
        <f t="shared" si="26"/>
        <v>0</v>
      </c>
      <c r="T73" s="77"/>
    </row>
    <row r="74" spans="1:20" s="11" customFormat="1" ht="14" customHeight="1">
      <c r="A74" s="77"/>
      <c r="B74" s="761"/>
      <c r="C74" s="144" t="s">
        <v>9</v>
      </c>
      <c r="D74" s="145" t="s">
        <v>13</v>
      </c>
      <c r="E74" s="472">
        <v>0</v>
      </c>
      <c r="F74" s="146">
        <v>0</v>
      </c>
      <c r="G74" s="146">
        <v>0</v>
      </c>
      <c r="H74" s="146">
        <v>0</v>
      </c>
      <c r="I74" s="146">
        <v>0</v>
      </c>
      <c r="J74" s="146">
        <v>0</v>
      </c>
      <c r="K74" s="146">
        <v>0</v>
      </c>
      <c r="L74" s="146">
        <v>0</v>
      </c>
      <c r="M74" s="146">
        <v>0</v>
      </c>
      <c r="N74" s="146">
        <v>0</v>
      </c>
      <c r="O74" s="146">
        <v>0</v>
      </c>
      <c r="P74" s="146">
        <v>0</v>
      </c>
      <c r="Q74" s="147">
        <f t="shared" si="24"/>
        <v>0</v>
      </c>
      <c r="R74" s="148">
        <f t="shared" si="25"/>
        <v>0</v>
      </c>
      <c r="S74" s="149">
        <f t="shared" si="26"/>
        <v>0</v>
      </c>
      <c r="T74" s="77"/>
    </row>
    <row r="75" spans="1:20" s="11" customFormat="1" ht="14" customHeight="1">
      <c r="A75" s="77"/>
      <c r="B75" s="761"/>
      <c r="C75" s="129" t="s">
        <v>8</v>
      </c>
      <c r="D75" s="130" t="s">
        <v>0</v>
      </c>
      <c r="E75" s="471">
        <f>SUMPRODUCT(Biodiesel!C15:C16,Biodiesel!L15:L16)</f>
        <v>34621553.368620634</v>
      </c>
      <c r="F75" s="131">
        <f>SUMPRODUCT(Biodiesel!O15:O16,Biodiesel!X15:X16)</f>
        <v>43594779.320129581</v>
      </c>
      <c r="G75" s="131">
        <f>Biodiesel!C19*Biodiesel!L19</f>
        <v>46685.660762105268</v>
      </c>
      <c r="H75" s="131">
        <f>Biodiesel!O19*Biodiesel!X19</f>
        <v>51872.956402339179</v>
      </c>
      <c r="I75" s="131">
        <v>0</v>
      </c>
      <c r="J75" s="131">
        <v>0</v>
      </c>
      <c r="K75" s="131">
        <f>Biodiesel!C22*Biodiesel!L22</f>
        <v>119319.151528</v>
      </c>
      <c r="L75" s="131">
        <f>Biodiesel!O22*Biodiesel!X22</f>
        <v>132576.83503111108</v>
      </c>
      <c r="M75" s="131">
        <v>0</v>
      </c>
      <c r="N75" s="131">
        <v>0</v>
      </c>
      <c r="O75" s="131">
        <f>Biodiesel!C25</f>
        <v>-6434118.3908696994</v>
      </c>
      <c r="P75" s="131">
        <f>Biodiesel!O25</f>
        <v>-6434118.3908696994</v>
      </c>
      <c r="Q75" s="78">
        <f t="shared" si="24"/>
        <v>34787558.180910744</v>
      </c>
      <c r="R75" s="132">
        <f t="shared" si="25"/>
        <v>43779229.111563034</v>
      </c>
      <c r="S75" s="133">
        <f t="shared" si="26"/>
        <v>-6434118.3908696994</v>
      </c>
      <c r="T75" s="77"/>
    </row>
    <row r="76" spans="1:20" s="11" customFormat="1" ht="14" customHeight="1">
      <c r="A76" s="77"/>
      <c r="B76" s="761"/>
      <c r="C76" s="129" t="s">
        <v>8</v>
      </c>
      <c r="D76" s="134" t="s">
        <v>7</v>
      </c>
      <c r="E76" s="471">
        <v>0</v>
      </c>
      <c r="F76" s="131">
        <v>0</v>
      </c>
      <c r="G76" s="131">
        <v>0</v>
      </c>
      <c r="H76" s="131">
        <v>0</v>
      </c>
      <c r="I76" s="131">
        <v>0</v>
      </c>
      <c r="J76" s="131">
        <v>0</v>
      </c>
      <c r="K76" s="131">
        <v>0</v>
      </c>
      <c r="L76" s="131">
        <v>0</v>
      </c>
      <c r="M76" s="131">
        <v>0</v>
      </c>
      <c r="N76" s="131">
        <v>0</v>
      </c>
      <c r="O76" s="131">
        <v>0</v>
      </c>
      <c r="P76" s="131">
        <v>0</v>
      </c>
      <c r="Q76" s="78">
        <f t="shared" si="24"/>
        <v>0</v>
      </c>
      <c r="R76" s="132">
        <f t="shared" si="25"/>
        <v>0</v>
      </c>
      <c r="S76" s="133">
        <f t="shared" si="26"/>
        <v>0</v>
      </c>
      <c r="T76" s="77"/>
    </row>
    <row r="77" spans="1:20" s="11" customFormat="1" ht="14" customHeight="1">
      <c r="A77" s="77"/>
      <c r="B77" s="761"/>
      <c r="C77" s="129" t="s">
        <v>8</v>
      </c>
      <c r="D77" s="135" t="s">
        <v>1</v>
      </c>
      <c r="E77" s="471">
        <v>0</v>
      </c>
      <c r="F77" s="131">
        <v>0</v>
      </c>
      <c r="G77" s="131">
        <v>0</v>
      </c>
      <c r="H77" s="131">
        <v>0</v>
      </c>
      <c r="I77" s="131">
        <v>0</v>
      </c>
      <c r="J77" s="131">
        <v>0</v>
      </c>
      <c r="K77" s="131">
        <v>0</v>
      </c>
      <c r="L77" s="131">
        <v>0</v>
      </c>
      <c r="M77" s="131">
        <v>0</v>
      </c>
      <c r="N77" s="131">
        <v>0</v>
      </c>
      <c r="O77" s="131">
        <v>0</v>
      </c>
      <c r="P77" s="131">
        <v>0</v>
      </c>
      <c r="Q77" s="78">
        <f t="shared" si="24"/>
        <v>0</v>
      </c>
      <c r="R77" s="132">
        <f t="shared" si="25"/>
        <v>0</v>
      </c>
      <c r="S77" s="133">
        <f t="shared" si="26"/>
        <v>0</v>
      </c>
      <c r="T77" s="77"/>
    </row>
    <row r="78" spans="1:20" s="11" customFormat="1" ht="14" customHeight="1">
      <c r="A78" s="77"/>
      <c r="B78" s="761"/>
      <c r="C78" s="136" t="s">
        <v>8</v>
      </c>
      <c r="D78" s="137" t="s">
        <v>13</v>
      </c>
      <c r="E78" s="473">
        <v>0</v>
      </c>
      <c r="F78" s="138">
        <v>0</v>
      </c>
      <c r="G78" s="138">
        <v>0</v>
      </c>
      <c r="H78" s="138">
        <v>0</v>
      </c>
      <c r="I78" s="138">
        <v>0</v>
      </c>
      <c r="J78" s="138">
        <v>0</v>
      </c>
      <c r="K78" s="138">
        <v>0</v>
      </c>
      <c r="L78" s="138">
        <v>0</v>
      </c>
      <c r="M78" s="138">
        <v>0</v>
      </c>
      <c r="N78" s="138">
        <v>0</v>
      </c>
      <c r="O78" s="138">
        <v>0</v>
      </c>
      <c r="P78" s="138">
        <v>0</v>
      </c>
      <c r="Q78" s="139">
        <f t="shared" si="24"/>
        <v>0</v>
      </c>
      <c r="R78" s="140">
        <f t="shared" si="25"/>
        <v>0</v>
      </c>
      <c r="S78" s="141">
        <f t="shared" si="26"/>
        <v>0</v>
      </c>
      <c r="T78" s="77"/>
    </row>
    <row r="79" spans="1:20" s="11" customFormat="1" ht="14" customHeight="1">
      <c r="A79" s="77"/>
      <c r="B79" s="761"/>
      <c r="C79" s="150" t="s">
        <v>10</v>
      </c>
      <c r="D79" s="143" t="s">
        <v>0</v>
      </c>
      <c r="E79" s="471">
        <v>0</v>
      </c>
      <c r="F79" s="131">
        <v>0</v>
      </c>
      <c r="G79" s="131">
        <v>0</v>
      </c>
      <c r="H79" s="131">
        <v>0</v>
      </c>
      <c r="I79" s="131">
        <v>0</v>
      </c>
      <c r="J79" s="131">
        <v>0</v>
      </c>
      <c r="K79" s="131">
        <v>0</v>
      </c>
      <c r="L79" s="131">
        <v>0</v>
      </c>
      <c r="M79" s="131">
        <v>0</v>
      </c>
      <c r="N79" s="131">
        <v>0</v>
      </c>
      <c r="O79" s="131">
        <v>0</v>
      </c>
      <c r="P79" s="131">
        <v>0</v>
      </c>
      <c r="Q79" s="78">
        <f t="shared" si="24"/>
        <v>0</v>
      </c>
      <c r="R79" s="132">
        <f t="shared" si="25"/>
        <v>0</v>
      </c>
      <c r="S79" s="133">
        <f t="shared" si="26"/>
        <v>0</v>
      </c>
      <c r="T79" s="77"/>
    </row>
    <row r="80" spans="1:20" s="11" customFormat="1" ht="14" customHeight="1">
      <c r="A80" s="77"/>
      <c r="B80" s="761"/>
      <c r="C80" s="150" t="s">
        <v>10</v>
      </c>
      <c r="D80" s="134" t="s">
        <v>7</v>
      </c>
      <c r="E80" s="471">
        <v>0</v>
      </c>
      <c r="F80" s="131">
        <v>0</v>
      </c>
      <c r="G80" s="131">
        <v>0</v>
      </c>
      <c r="H80" s="131">
        <v>0</v>
      </c>
      <c r="I80" s="131">
        <v>0</v>
      </c>
      <c r="J80" s="131">
        <v>0</v>
      </c>
      <c r="K80" s="131">
        <v>0</v>
      </c>
      <c r="L80" s="131">
        <v>0</v>
      </c>
      <c r="M80" s="131">
        <v>0</v>
      </c>
      <c r="N80" s="131">
        <v>0</v>
      </c>
      <c r="O80" s="131">
        <v>0</v>
      </c>
      <c r="P80" s="131">
        <v>0</v>
      </c>
      <c r="Q80" s="78">
        <f t="shared" si="24"/>
        <v>0</v>
      </c>
      <c r="R80" s="132">
        <f t="shared" si="25"/>
        <v>0</v>
      </c>
      <c r="S80" s="133">
        <f t="shared" si="26"/>
        <v>0</v>
      </c>
      <c r="T80" s="77"/>
    </row>
    <row r="81" spans="1:20" s="11" customFormat="1" ht="14" customHeight="1">
      <c r="A81" s="77"/>
      <c r="B81" s="761"/>
      <c r="C81" s="150" t="s">
        <v>10</v>
      </c>
      <c r="D81" s="135" t="s">
        <v>1</v>
      </c>
      <c r="E81" s="471">
        <v>0</v>
      </c>
      <c r="F81" s="131">
        <v>0</v>
      </c>
      <c r="G81" s="131">
        <v>0</v>
      </c>
      <c r="H81" s="151">
        <v>0</v>
      </c>
      <c r="I81" s="131">
        <v>0</v>
      </c>
      <c r="J81" s="131">
        <v>0</v>
      </c>
      <c r="K81" s="131">
        <v>0</v>
      </c>
      <c r="L81" s="131">
        <v>0</v>
      </c>
      <c r="M81" s="131">
        <v>0</v>
      </c>
      <c r="N81" s="131">
        <v>0</v>
      </c>
      <c r="O81" s="131">
        <v>0</v>
      </c>
      <c r="P81" s="131">
        <v>0</v>
      </c>
      <c r="Q81" s="78">
        <f t="shared" si="24"/>
        <v>0</v>
      </c>
      <c r="R81" s="132">
        <f t="shared" si="25"/>
        <v>0</v>
      </c>
      <c r="S81" s="133">
        <f t="shared" si="26"/>
        <v>0</v>
      </c>
      <c r="T81" s="77"/>
    </row>
    <row r="82" spans="1:20" s="11" customFormat="1" ht="14" customHeight="1" thickBot="1">
      <c r="A82" s="77"/>
      <c r="B82" s="761"/>
      <c r="C82" s="150" t="s">
        <v>10</v>
      </c>
      <c r="D82" s="166" t="s">
        <v>13</v>
      </c>
      <c r="E82" s="471">
        <v>0</v>
      </c>
      <c r="F82" s="131">
        <v>0</v>
      </c>
      <c r="G82" s="131">
        <v>0</v>
      </c>
      <c r="H82" s="131">
        <v>0</v>
      </c>
      <c r="I82" s="131">
        <v>0</v>
      </c>
      <c r="J82" s="131">
        <v>0</v>
      </c>
      <c r="K82" s="131">
        <v>0</v>
      </c>
      <c r="L82" s="131">
        <v>0</v>
      </c>
      <c r="M82" s="131">
        <v>0</v>
      </c>
      <c r="N82" s="131">
        <v>0</v>
      </c>
      <c r="O82" s="131">
        <v>0</v>
      </c>
      <c r="P82" s="131">
        <v>0</v>
      </c>
      <c r="Q82" s="78">
        <f t="shared" si="24"/>
        <v>0</v>
      </c>
      <c r="R82" s="132">
        <f t="shared" si="25"/>
        <v>0</v>
      </c>
      <c r="S82" s="133">
        <f t="shared" si="26"/>
        <v>0</v>
      </c>
      <c r="T82" s="77"/>
    </row>
    <row r="83" spans="1:20" s="11" customFormat="1" ht="30" customHeight="1" thickBot="1">
      <c r="A83" s="77"/>
      <c r="B83" s="799" t="s">
        <v>44</v>
      </c>
      <c r="C83" s="800"/>
      <c r="D83" s="800"/>
      <c r="E83" s="800"/>
      <c r="F83" s="800"/>
      <c r="G83" s="800"/>
      <c r="H83" s="800"/>
      <c r="I83" s="800"/>
      <c r="J83" s="800"/>
      <c r="K83" s="800"/>
      <c r="L83" s="800"/>
      <c r="M83" s="800"/>
      <c r="N83" s="800"/>
      <c r="O83" s="800"/>
      <c r="P83" s="800"/>
      <c r="Q83" s="800"/>
      <c r="R83" s="800"/>
      <c r="S83" s="801"/>
      <c r="T83" s="77"/>
    </row>
    <row r="84" spans="1:20" s="11" customFormat="1" ht="14" customHeight="1">
      <c r="A84" s="77"/>
      <c r="B84" s="761" t="s">
        <v>32</v>
      </c>
      <c r="C84" s="120"/>
      <c r="D84" s="156"/>
      <c r="E84" s="759" t="s">
        <v>591</v>
      </c>
      <c r="F84" s="760"/>
      <c r="G84" s="756" t="s">
        <v>66</v>
      </c>
      <c r="H84" s="756"/>
      <c r="I84" s="742" t="s">
        <v>67</v>
      </c>
      <c r="J84" s="742"/>
      <c r="K84" s="743" t="s">
        <v>68</v>
      </c>
      <c r="L84" s="743"/>
      <c r="M84" s="744" t="s">
        <v>69</v>
      </c>
      <c r="N84" s="744"/>
      <c r="O84" s="745" t="s">
        <v>413</v>
      </c>
      <c r="P84" s="745"/>
      <c r="Q84" s="121" t="s">
        <v>763</v>
      </c>
      <c r="R84" s="122" t="s">
        <v>763</v>
      </c>
      <c r="S84" s="123" t="s">
        <v>763</v>
      </c>
      <c r="T84" s="77"/>
    </row>
    <row r="85" spans="1:20" s="11" customFormat="1" ht="14" customHeight="1">
      <c r="A85" s="77"/>
      <c r="B85" s="761"/>
      <c r="C85" s="120"/>
      <c r="D85" s="156"/>
      <c r="E85" s="469" t="s">
        <v>209</v>
      </c>
      <c r="F85" s="414" t="s">
        <v>208</v>
      </c>
      <c r="G85" s="414" t="s">
        <v>209</v>
      </c>
      <c r="H85" s="414" t="s">
        <v>208</v>
      </c>
      <c r="I85" s="414" t="s">
        <v>209</v>
      </c>
      <c r="J85" s="414" t="s">
        <v>208</v>
      </c>
      <c r="K85" s="414" t="s">
        <v>209</v>
      </c>
      <c r="L85" s="414" t="s">
        <v>208</v>
      </c>
      <c r="M85" s="414" t="s">
        <v>209</v>
      </c>
      <c r="N85" s="414" t="s">
        <v>208</v>
      </c>
      <c r="O85" s="414" t="s">
        <v>209</v>
      </c>
      <c r="P85" s="414" t="s">
        <v>208</v>
      </c>
      <c r="Q85" s="121" t="s">
        <v>209</v>
      </c>
      <c r="R85" s="468" t="s">
        <v>208</v>
      </c>
      <c r="S85" s="123" t="s">
        <v>413</v>
      </c>
      <c r="T85" s="77"/>
    </row>
    <row r="86" spans="1:20" s="11" customFormat="1" ht="28" customHeight="1">
      <c r="A86" s="77"/>
      <c r="B86" s="761"/>
      <c r="C86" s="124" t="s">
        <v>761</v>
      </c>
      <c r="D86" s="125" t="s">
        <v>762</v>
      </c>
      <c r="E86" s="126">
        <f t="shared" ref="E86:S86" si="27">SUM(E87:E98)</f>
        <v>8382176.413415188</v>
      </c>
      <c r="F86" s="126">
        <f t="shared" si="27"/>
        <v>8382176.413415188</v>
      </c>
      <c r="G86" s="126">
        <f t="shared" si="27"/>
        <v>72634.648413270159</v>
      </c>
      <c r="H86" s="126">
        <f t="shared" si="27"/>
        <v>907933.10516587691</v>
      </c>
      <c r="I86" s="126">
        <f t="shared" si="27"/>
        <v>0</v>
      </c>
      <c r="J86" s="126">
        <f t="shared" si="27"/>
        <v>0</v>
      </c>
      <c r="K86" s="126">
        <f t="shared" si="27"/>
        <v>1057180086.7892219</v>
      </c>
      <c r="L86" s="126">
        <f t="shared" si="27"/>
        <v>53565034965.72789</v>
      </c>
      <c r="M86" s="126">
        <f t="shared" si="27"/>
        <v>73468294.296396643</v>
      </c>
      <c r="N86" s="126">
        <f t="shared" si="27"/>
        <v>19791595.225318454</v>
      </c>
      <c r="O86" s="126">
        <f t="shared" si="27"/>
        <v>-242765424.04966447</v>
      </c>
      <c r="P86" s="126">
        <f t="shared" si="27"/>
        <v>-242765424.04966447</v>
      </c>
      <c r="Q86" s="79">
        <f t="shared" si="27"/>
        <v>1139103192.1474469</v>
      </c>
      <c r="R86" s="127">
        <f t="shared" si="27"/>
        <v>53594116670.471786</v>
      </c>
      <c r="S86" s="128">
        <f t="shared" si="27"/>
        <v>-242765424.04966447</v>
      </c>
      <c r="T86" s="77"/>
    </row>
    <row r="87" spans="1:20" s="11" customFormat="1" ht="14" customHeight="1">
      <c r="A87" s="77"/>
      <c r="B87" s="761"/>
      <c r="C87" s="142" t="s">
        <v>9</v>
      </c>
      <c r="D87" s="143" t="s">
        <v>0</v>
      </c>
      <c r="E87" s="470">
        <f>'Subbituminous Coal'!C15</f>
        <v>8382176.413415188</v>
      </c>
      <c r="F87" s="131">
        <f>'Subbituminous Coal'!O15</f>
        <v>8382176.413415188</v>
      </c>
      <c r="G87" s="131">
        <f>'Subbituminous Coal'!C20*'Subbituminous Coal'!K20</f>
        <v>25422.126944644555</v>
      </c>
      <c r="H87" s="131">
        <f>'Subbituminous Coal'!O20*'Subbituminous Coal'!W20</f>
        <v>317776.58680805692</v>
      </c>
      <c r="I87" s="131">
        <v>0</v>
      </c>
      <c r="J87" s="131">
        <v>0</v>
      </c>
      <c r="K87" s="131">
        <f>'Sankey conversion input'!E39-M87</f>
        <v>246389183.94232681</v>
      </c>
      <c r="L87" s="131">
        <f>'Sankey conversion input'!D39-N87</f>
        <v>271253329.67248845</v>
      </c>
      <c r="M87" s="131">
        <f>'Subbituminous Coal'!$C$27*('Sankey conversion input'!E39-'Subbituminous Coal'!C26*'Subbituminous Coal'!K26)/(SUM('Sankey conversion input'!E$35:E$46)-'Subbituminous Coal'!$C$26)+'Subbituminous Coal'!C26*'Subbituminous Coal'!K26</f>
        <v>12610257.926985988</v>
      </c>
      <c r="N87" s="131">
        <f>'Subbituminous Coal'!O26*'Subbituminous Coal'!W26</f>
        <v>100224.63548903991</v>
      </c>
      <c r="O87" s="131">
        <v>0</v>
      </c>
      <c r="P87" s="131">
        <v>0</v>
      </c>
      <c r="Q87" s="78">
        <f t="shared" ref="Q87:Q98" si="28">SUM(E87,G87,I87,K87,M87)</f>
        <v>267407040.40967262</v>
      </c>
      <c r="R87" s="132">
        <f t="shared" ref="R87:R98" si="29">SUM(F87,H87,J87,L87,N87)</f>
        <v>280053507.30820072</v>
      </c>
      <c r="S87" s="133">
        <f t="shared" ref="S87:S98" si="30">P87</f>
        <v>0</v>
      </c>
      <c r="T87" s="77"/>
    </row>
    <row r="88" spans="1:20" s="11" customFormat="1" ht="14" customHeight="1">
      <c r="A88" s="77"/>
      <c r="B88" s="761"/>
      <c r="C88" s="142" t="s">
        <v>9</v>
      </c>
      <c r="D88" s="134" t="s">
        <v>7</v>
      </c>
      <c r="E88" s="471">
        <v>0</v>
      </c>
      <c r="F88" s="131">
        <v>0</v>
      </c>
      <c r="G88" s="131">
        <v>0</v>
      </c>
      <c r="H88" s="131">
        <v>0</v>
      </c>
      <c r="I88" s="131">
        <v>0</v>
      </c>
      <c r="J88" s="131">
        <v>0</v>
      </c>
      <c r="K88" s="131">
        <f>'Sankey conversion input'!E40-M88</f>
        <v>0</v>
      </c>
      <c r="L88" s="131">
        <f>'Sankey conversion input'!D40-N88</f>
        <v>0</v>
      </c>
      <c r="M88" s="131">
        <f>'Subbituminous Coal'!$C$27*'Sankey conversion input'!E40/(SUM('Sankey conversion input'!E$35:E$46)-'Subbituminous Coal'!$C$26)</f>
        <v>0</v>
      </c>
      <c r="N88" s="131">
        <v>0</v>
      </c>
      <c r="O88" s="131">
        <v>0</v>
      </c>
      <c r="P88" s="131">
        <v>0</v>
      </c>
      <c r="Q88" s="78">
        <f t="shared" si="28"/>
        <v>0</v>
      </c>
      <c r="R88" s="132">
        <f t="shared" si="29"/>
        <v>0</v>
      </c>
      <c r="S88" s="133">
        <f t="shared" si="30"/>
        <v>0</v>
      </c>
      <c r="T88" s="77"/>
    </row>
    <row r="89" spans="1:20" s="11" customFormat="1" ht="14" customHeight="1">
      <c r="A89" s="77"/>
      <c r="B89" s="761"/>
      <c r="C89" s="142" t="s">
        <v>9</v>
      </c>
      <c r="D89" s="135" t="s">
        <v>1</v>
      </c>
      <c r="E89" s="471">
        <v>0</v>
      </c>
      <c r="F89" s="131">
        <v>0</v>
      </c>
      <c r="G89" s="131">
        <v>0</v>
      </c>
      <c r="H89" s="131">
        <v>0</v>
      </c>
      <c r="I89" s="131">
        <v>0</v>
      </c>
      <c r="J89" s="131">
        <v>0</v>
      </c>
      <c r="K89" s="131">
        <f>'Sankey conversion input'!E41-M89</f>
        <v>0</v>
      </c>
      <c r="L89" s="131">
        <f>'Sankey conversion input'!D41-N89</f>
        <v>0</v>
      </c>
      <c r="M89" s="131">
        <f>'Subbituminous Coal'!$C$27*'Sankey conversion input'!E41/(SUM('Sankey conversion input'!E$35:E$46)-'Subbituminous Coal'!$C$26)</f>
        <v>0</v>
      </c>
      <c r="N89" s="131">
        <f>'Subbituminous Coal'!$O$27*'Sankey conversion input'!D41/SUM('Sankey conversion input'!D$35:D$46)</f>
        <v>0</v>
      </c>
      <c r="O89" s="131">
        <v>0</v>
      </c>
      <c r="P89" s="131">
        <v>0</v>
      </c>
      <c r="Q89" s="78">
        <f t="shared" si="28"/>
        <v>0</v>
      </c>
      <c r="R89" s="132">
        <f t="shared" si="29"/>
        <v>0</v>
      </c>
      <c r="S89" s="133">
        <f t="shared" si="30"/>
        <v>0</v>
      </c>
      <c r="T89" s="77"/>
    </row>
    <row r="90" spans="1:20" s="11" customFormat="1" ht="14" customHeight="1">
      <c r="A90" s="77"/>
      <c r="B90" s="761"/>
      <c r="C90" s="144" t="s">
        <v>9</v>
      </c>
      <c r="D90" s="145" t="s">
        <v>13</v>
      </c>
      <c r="E90" s="472">
        <v>0</v>
      </c>
      <c r="F90" s="146">
        <v>0</v>
      </c>
      <c r="G90" s="146">
        <v>0</v>
      </c>
      <c r="H90" s="146">
        <v>0</v>
      </c>
      <c r="I90" s="146">
        <v>0</v>
      </c>
      <c r="J90" s="146">
        <v>0</v>
      </c>
      <c r="K90" s="146">
        <f>'Sankey conversion input'!E42-M90</f>
        <v>0</v>
      </c>
      <c r="L90" s="146">
        <f>'Sankey conversion input'!D42-N90</f>
        <v>0</v>
      </c>
      <c r="M90" s="146">
        <f>'Subbituminous Coal'!$C$27*'Sankey conversion input'!E42/(SUM('Sankey conversion input'!E$35:E$46)-'Subbituminous Coal'!$C$26)</f>
        <v>0</v>
      </c>
      <c r="N90" s="146">
        <f>'Subbituminous Coal'!$O$27*'Sankey conversion input'!D42/SUM('Sankey conversion input'!D$35:D$46)</f>
        <v>0</v>
      </c>
      <c r="O90" s="146">
        <v>0</v>
      </c>
      <c r="P90" s="146">
        <v>0</v>
      </c>
      <c r="Q90" s="147">
        <f t="shared" si="28"/>
        <v>0</v>
      </c>
      <c r="R90" s="148">
        <f t="shared" si="29"/>
        <v>0</v>
      </c>
      <c r="S90" s="149">
        <f t="shared" si="30"/>
        <v>0</v>
      </c>
      <c r="T90" s="77"/>
    </row>
    <row r="91" spans="1:20" s="11" customFormat="1" ht="14" customHeight="1">
      <c r="A91" s="77"/>
      <c r="B91" s="761"/>
      <c r="C91" s="129" t="s">
        <v>8</v>
      </c>
      <c r="D91" s="130" t="s">
        <v>0</v>
      </c>
      <c r="E91" s="471">
        <v>0</v>
      </c>
      <c r="F91" s="131">
        <v>0</v>
      </c>
      <c r="G91" s="131">
        <f>'Subbituminous Coal'!C20*'Subbituminous Coal'!L20</f>
        <v>47212.521468625608</v>
      </c>
      <c r="H91" s="131">
        <f>'Subbituminous Coal'!O20*'Subbituminous Coal'!X20</f>
        <v>590156.51835781999</v>
      </c>
      <c r="I91" s="131">
        <v>0</v>
      </c>
      <c r="J91" s="131">
        <v>0</v>
      </c>
      <c r="K91" s="131">
        <f>'Sankey conversion input'!E35-M91</f>
        <v>783298494.28289568</v>
      </c>
      <c r="L91" s="131">
        <f>'Sankey conversion input'!D35-N91</f>
        <v>52746159586.072563</v>
      </c>
      <c r="M91" s="131">
        <f>'Subbituminous Coal'!$C$27*('Sankey conversion input'!E35-'Subbituminous Coal'!C26*'Subbituminous Coal'!L26)/(SUM('Sankey conversion input'!E$35:E$46)-'Subbituminous Coal'!$C$26)+'Subbituminous Coal'!C26*'Subbituminous Coal'!L26</f>
        <v>59343092.442070767</v>
      </c>
      <c r="N91" s="131">
        <f>'Subbituminous Coal'!O26*'Subbituminous Coal'!X26</f>
        <v>19572311.58282588</v>
      </c>
      <c r="O91" s="131">
        <f>'Subbituminous Coal'!C30</f>
        <v>-242765424.04966447</v>
      </c>
      <c r="P91" s="131">
        <f>'Subbituminous Coal'!O30</f>
        <v>-242765424.04966447</v>
      </c>
      <c r="Q91" s="78">
        <f t="shared" si="28"/>
        <v>842688799.24643505</v>
      </c>
      <c r="R91" s="132">
        <f t="shared" si="29"/>
        <v>52766322054.173744</v>
      </c>
      <c r="S91" s="133">
        <f t="shared" si="30"/>
        <v>-242765424.04966447</v>
      </c>
      <c r="T91" s="77"/>
    </row>
    <row r="92" spans="1:20" s="11" customFormat="1" ht="14" customHeight="1">
      <c r="A92" s="77"/>
      <c r="B92" s="761"/>
      <c r="C92" s="129" t="s">
        <v>8</v>
      </c>
      <c r="D92" s="134" t="s">
        <v>7</v>
      </c>
      <c r="E92" s="471">
        <v>0</v>
      </c>
      <c r="F92" s="131">
        <v>0</v>
      </c>
      <c r="G92" s="131">
        <v>0</v>
      </c>
      <c r="H92" s="131">
        <v>0</v>
      </c>
      <c r="I92" s="131">
        <v>0</v>
      </c>
      <c r="J92" s="131">
        <v>0</v>
      </c>
      <c r="K92" s="131">
        <f>'Sankey conversion input'!E36-M92</f>
        <v>1158075.8343971076</v>
      </c>
      <c r="L92" s="131">
        <f>'Sankey conversion input'!D36-N92</f>
        <v>218998148.59501019</v>
      </c>
      <c r="M92" s="131">
        <f>'Subbituminous Coal'!$C$27*'Sankey conversion input'!E36/(SUM('Sankey conversion input'!E$35:E$46)-'Subbituminous Coal'!$C$26)</f>
        <v>58799.526061083423</v>
      </c>
      <c r="N92" s="131">
        <v>0</v>
      </c>
      <c r="O92" s="131">
        <v>0</v>
      </c>
      <c r="P92" s="131">
        <v>0</v>
      </c>
      <c r="Q92" s="78">
        <f t="shared" si="28"/>
        <v>1216875.360458191</v>
      </c>
      <c r="R92" s="132">
        <f t="shared" si="29"/>
        <v>218998148.59501019</v>
      </c>
      <c r="S92" s="133">
        <f t="shared" si="30"/>
        <v>0</v>
      </c>
      <c r="T92" s="77"/>
    </row>
    <row r="93" spans="1:20" s="11" customFormat="1" ht="14" customHeight="1">
      <c r="A93" s="77"/>
      <c r="B93" s="761"/>
      <c r="C93" s="129" t="s">
        <v>8</v>
      </c>
      <c r="D93" s="135" t="s">
        <v>1</v>
      </c>
      <c r="E93" s="471">
        <v>0</v>
      </c>
      <c r="F93" s="131">
        <v>0</v>
      </c>
      <c r="G93" s="131">
        <v>0</v>
      </c>
      <c r="H93" s="131">
        <v>0</v>
      </c>
      <c r="I93" s="131">
        <v>0</v>
      </c>
      <c r="J93" s="131">
        <v>0</v>
      </c>
      <c r="K93" s="131">
        <f>'Sankey conversion input'!E37-M93</f>
        <v>99128.172359723787</v>
      </c>
      <c r="L93" s="131">
        <f>'Sankey conversion input'!D37-N93</f>
        <v>6396218.3473578915</v>
      </c>
      <c r="M93" s="131">
        <f>'Subbituminous Coal'!$C$27*'Sankey conversion input'!E37/(SUM('Sankey conversion input'!E$35:E$46)-'Subbituminous Coal'!$C$26)</f>
        <v>5033.0810650992944</v>
      </c>
      <c r="N93" s="131">
        <v>0</v>
      </c>
      <c r="O93" s="131">
        <v>0</v>
      </c>
      <c r="P93" s="131">
        <v>0</v>
      </c>
      <c r="Q93" s="78">
        <f t="shared" si="28"/>
        <v>104161.25342482308</v>
      </c>
      <c r="R93" s="132">
        <f t="shared" si="29"/>
        <v>6396218.3473578915</v>
      </c>
      <c r="S93" s="133">
        <f t="shared" si="30"/>
        <v>0</v>
      </c>
      <c r="T93" s="77"/>
    </row>
    <row r="94" spans="1:20" s="11" customFormat="1" ht="14" customHeight="1">
      <c r="A94" s="77"/>
      <c r="B94" s="761"/>
      <c r="C94" s="136" t="s">
        <v>8</v>
      </c>
      <c r="D94" s="137" t="s">
        <v>13</v>
      </c>
      <c r="E94" s="473">
        <v>0</v>
      </c>
      <c r="F94" s="138">
        <v>0</v>
      </c>
      <c r="G94" s="138">
        <v>0</v>
      </c>
      <c r="H94" s="138">
        <v>0</v>
      </c>
      <c r="I94" s="138">
        <v>0</v>
      </c>
      <c r="J94" s="138">
        <v>0</v>
      </c>
      <c r="K94" s="138">
        <f>'Sankey conversion input'!E38-M94</f>
        <v>0</v>
      </c>
      <c r="L94" s="138">
        <f>'Sankey conversion input'!D38-N94</f>
        <v>0</v>
      </c>
      <c r="M94" s="138">
        <f>'Subbituminous Coal'!$C$27*'Sankey conversion input'!E38/(SUM('Sankey conversion input'!E$35:E$46)-'Subbituminous Coal'!$C$26)</f>
        <v>0</v>
      </c>
      <c r="N94" s="138">
        <v>0</v>
      </c>
      <c r="O94" s="138">
        <v>0</v>
      </c>
      <c r="P94" s="138">
        <v>0</v>
      </c>
      <c r="Q94" s="139">
        <f t="shared" si="28"/>
        <v>0</v>
      </c>
      <c r="R94" s="140">
        <f t="shared" si="29"/>
        <v>0</v>
      </c>
      <c r="S94" s="141">
        <f t="shared" si="30"/>
        <v>0</v>
      </c>
      <c r="T94" s="77"/>
    </row>
    <row r="95" spans="1:20" s="11" customFormat="1" ht="14" customHeight="1">
      <c r="A95" s="77"/>
      <c r="B95" s="761"/>
      <c r="C95" s="150" t="s">
        <v>10</v>
      </c>
      <c r="D95" s="143" t="s">
        <v>0</v>
      </c>
      <c r="E95" s="471">
        <v>0</v>
      </c>
      <c r="F95" s="131">
        <v>0</v>
      </c>
      <c r="G95" s="131">
        <v>0</v>
      </c>
      <c r="H95" s="131">
        <v>0</v>
      </c>
      <c r="I95" s="131">
        <v>0</v>
      </c>
      <c r="J95" s="131">
        <v>0</v>
      </c>
      <c r="K95" s="131">
        <f>'Sankey conversion input'!E43-M95</f>
        <v>26203644.776255693</v>
      </c>
      <c r="L95" s="131">
        <f>'Sankey conversion input'!D43-N95</f>
        <v>320863519.74756211</v>
      </c>
      <c r="M95" s="131">
        <f>'Subbituminous Coal'!$C$27*('Sankey conversion input'!E43-'Subbituminous Coal'!C26*'Subbituminous Coal'!M26)/(SUM('Sankey conversion input'!E$35:E$46)-'Subbituminous Coal'!$C$26)+'Subbituminous Coal'!C26*'Subbituminous Coal'!M26</f>
        <v>1449508.9206906974</v>
      </c>
      <c r="N95" s="131">
        <f>'Subbituminous Coal'!O26*'Subbituminous Coal'!Y26</f>
        <v>119059.00700353607</v>
      </c>
      <c r="O95" s="131">
        <v>0</v>
      </c>
      <c r="P95" s="131">
        <v>0</v>
      </c>
      <c r="Q95" s="78">
        <f t="shared" si="28"/>
        <v>27653153.69694639</v>
      </c>
      <c r="R95" s="132">
        <f t="shared" si="29"/>
        <v>320982578.75456566</v>
      </c>
      <c r="S95" s="133">
        <f t="shared" si="30"/>
        <v>0</v>
      </c>
      <c r="T95" s="77"/>
    </row>
    <row r="96" spans="1:20" s="11" customFormat="1" ht="14" customHeight="1">
      <c r="A96" s="77"/>
      <c r="B96" s="761"/>
      <c r="C96" s="150" t="s">
        <v>10</v>
      </c>
      <c r="D96" s="134" t="s">
        <v>7</v>
      </c>
      <c r="E96" s="471">
        <v>0</v>
      </c>
      <c r="F96" s="131">
        <v>0</v>
      </c>
      <c r="G96" s="131">
        <v>0</v>
      </c>
      <c r="H96" s="131">
        <v>0</v>
      </c>
      <c r="I96" s="131">
        <v>0</v>
      </c>
      <c r="J96" s="131">
        <v>0</v>
      </c>
      <c r="K96" s="131">
        <f>'Sankey conversion input'!E44-M96</f>
        <v>29071.351589144997</v>
      </c>
      <c r="L96" s="131">
        <f>'Sankey conversion input'!D44-N96</f>
        <v>1325451.2061746339</v>
      </c>
      <c r="M96" s="131">
        <f>'Subbituminous Coal'!$C$27*'Sankey conversion input'!E44/(SUM('Sankey conversion input'!E$35:E$46)-'Subbituminous Coal'!$C$26)</f>
        <v>1476.0533331452784</v>
      </c>
      <c r="N96" s="131">
        <v>0</v>
      </c>
      <c r="O96" s="131">
        <v>0</v>
      </c>
      <c r="P96" s="131">
        <v>0</v>
      </c>
      <c r="Q96" s="78">
        <f t="shared" si="28"/>
        <v>30547.404922290276</v>
      </c>
      <c r="R96" s="132">
        <f t="shared" si="29"/>
        <v>1325451.2061746339</v>
      </c>
      <c r="S96" s="133">
        <f t="shared" si="30"/>
        <v>0</v>
      </c>
      <c r="T96" s="77"/>
    </row>
    <row r="97" spans="1:20" s="11" customFormat="1" ht="14" customHeight="1">
      <c r="A97" s="77"/>
      <c r="B97" s="761"/>
      <c r="C97" s="150" t="s">
        <v>10</v>
      </c>
      <c r="D97" s="135" t="s">
        <v>1</v>
      </c>
      <c r="E97" s="471">
        <v>0</v>
      </c>
      <c r="F97" s="131">
        <v>0</v>
      </c>
      <c r="G97" s="131">
        <v>0</v>
      </c>
      <c r="H97" s="151">
        <v>0</v>
      </c>
      <c r="I97" s="131">
        <v>0</v>
      </c>
      <c r="J97" s="131">
        <v>0</v>
      </c>
      <c r="K97" s="131">
        <f>'Sankey conversion input'!E45-M97</f>
        <v>2488.4293976820181</v>
      </c>
      <c r="L97" s="131">
        <f>'Sankey conversion input'!D45-N97</f>
        <v>38712.08673612964</v>
      </c>
      <c r="M97" s="131">
        <f>'Subbituminous Coal'!$C$27*'Sankey conversion input'!E45/(SUM('Sankey conversion input'!E$35:E$46)-'Subbituminous Coal'!$C$26)</f>
        <v>126.34618983854639</v>
      </c>
      <c r="N97" s="131">
        <v>0</v>
      </c>
      <c r="O97" s="131">
        <v>0</v>
      </c>
      <c r="P97" s="131">
        <v>0</v>
      </c>
      <c r="Q97" s="78">
        <f t="shared" si="28"/>
        <v>2614.7755875205644</v>
      </c>
      <c r="R97" s="132">
        <f t="shared" si="29"/>
        <v>38712.08673612964</v>
      </c>
      <c r="S97" s="133">
        <f t="shared" si="30"/>
        <v>0</v>
      </c>
      <c r="T97" s="77"/>
    </row>
    <row r="98" spans="1:20" s="11" customFormat="1" ht="14" customHeight="1" thickBot="1">
      <c r="A98" s="77"/>
      <c r="B98" s="761"/>
      <c r="C98" s="150" t="s">
        <v>10</v>
      </c>
      <c r="D98" s="166" t="s">
        <v>13</v>
      </c>
      <c r="E98" s="471">
        <v>0</v>
      </c>
      <c r="F98" s="131">
        <v>0</v>
      </c>
      <c r="G98" s="131">
        <v>0</v>
      </c>
      <c r="H98" s="131">
        <v>0</v>
      </c>
      <c r="I98" s="131">
        <v>0</v>
      </c>
      <c r="J98" s="131">
        <v>0</v>
      </c>
      <c r="K98" s="131">
        <f>'Sankey conversion input'!E46-M98</f>
        <v>0</v>
      </c>
      <c r="L98" s="131">
        <f>'Sankey conversion input'!D46-N98</f>
        <v>0</v>
      </c>
      <c r="M98" s="131">
        <f>'Subbituminous Coal'!$C$27*'Sankey conversion input'!E46/(SUM('Sankey conversion input'!E$35:E$46)-'Subbituminous Coal'!$C$26)</f>
        <v>0</v>
      </c>
      <c r="N98" s="131">
        <f>'Subbituminous Coal'!$O$27*'Sankey conversion input'!D46/SUM('Sankey conversion input'!D$35:D$46)</f>
        <v>0</v>
      </c>
      <c r="O98" s="131">
        <v>0</v>
      </c>
      <c r="P98" s="131">
        <v>0</v>
      </c>
      <c r="Q98" s="78">
        <f t="shared" si="28"/>
        <v>0</v>
      </c>
      <c r="R98" s="132">
        <f t="shared" si="29"/>
        <v>0</v>
      </c>
      <c r="S98" s="133">
        <f t="shared" si="30"/>
        <v>0</v>
      </c>
      <c r="T98" s="77"/>
    </row>
    <row r="99" spans="1:20" s="11" customFormat="1" ht="30" customHeight="1" thickBot="1">
      <c r="A99" s="77"/>
      <c r="B99" s="796" t="s">
        <v>45</v>
      </c>
      <c r="C99" s="797"/>
      <c r="D99" s="797"/>
      <c r="E99" s="797"/>
      <c r="F99" s="797"/>
      <c r="G99" s="797"/>
      <c r="H99" s="797"/>
      <c r="I99" s="797"/>
      <c r="J99" s="797"/>
      <c r="K99" s="797"/>
      <c r="L99" s="797"/>
      <c r="M99" s="797"/>
      <c r="N99" s="797"/>
      <c r="O99" s="797"/>
      <c r="P99" s="797"/>
      <c r="Q99" s="797"/>
      <c r="R99" s="797"/>
      <c r="S99" s="798"/>
      <c r="T99" s="77"/>
    </row>
    <row r="100" spans="1:20" s="11" customFormat="1" ht="14" customHeight="1">
      <c r="A100" s="77"/>
      <c r="B100" s="761" t="s">
        <v>32</v>
      </c>
      <c r="C100" s="120"/>
      <c r="D100" s="156"/>
      <c r="E100" s="759" t="s">
        <v>591</v>
      </c>
      <c r="F100" s="760"/>
      <c r="G100" s="756" t="s">
        <v>66</v>
      </c>
      <c r="H100" s="756"/>
      <c r="I100" s="742" t="s">
        <v>67</v>
      </c>
      <c r="J100" s="742"/>
      <c r="K100" s="743" t="s">
        <v>68</v>
      </c>
      <c r="L100" s="743"/>
      <c r="M100" s="744" t="s">
        <v>69</v>
      </c>
      <c r="N100" s="744"/>
      <c r="O100" s="745" t="s">
        <v>413</v>
      </c>
      <c r="P100" s="745"/>
      <c r="Q100" s="121" t="s">
        <v>763</v>
      </c>
      <c r="R100" s="122" t="s">
        <v>763</v>
      </c>
      <c r="S100" s="123" t="s">
        <v>763</v>
      </c>
      <c r="T100" s="77"/>
    </row>
    <row r="101" spans="1:20" s="11" customFormat="1" ht="14" customHeight="1">
      <c r="A101" s="77"/>
      <c r="B101" s="761"/>
      <c r="C101" s="120"/>
      <c r="D101" s="156"/>
      <c r="E101" s="469" t="s">
        <v>209</v>
      </c>
      <c r="F101" s="414" t="s">
        <v>208</v>
      </c>
      <c r="G101" s="414" t="s">
        <v>209</v>
      </c>
      <c r="H101" s="414" t="s">
        <v>208</v>
      </c>
      <c r="I101" s="414" t="s">
        <v>209</v>
      </c>
      <c r="J101" s="414" t="s">
        <v>208</v>
      </c>
      <c r="K101" s="414" t="s">
        <v>209</v>
      </c>
      <c r="L101" s="414" t="s">
        <v>208</v>
      </c>
      <c r="M101" s="414" t="s">
        <v>209</v>
      </c>
      <c r="N101" s="414" t="s">
        <v>208</v>
      </c>
      <c r="O101" s="414" t="s">
        <v>209</v>
      </c>
      <c r="P101" s="414" t="s">
        <v>208</v>
      </c>
      <c r="Q101" s="121" t="s">
        <v>209</v>
      </c>
      <c r="R101" s="468" t="s">
        <v>208</v>
      </c>
      <c r="S101" s="123" t="s">
        <v>413</v>
      </c>
      <c r="T101" s="77"/>
    </row>
    <row r="102" spans="1:20" s="11" customFormat="1" ht="28" customHeight="1">
      <c r="A102" s="77"/>
      <c r="B102" s="761"/>
      <c r="C102" s="124" t="s">
        <v>761</v>
      </c>
      <c r="D102" s="125" t="s">
        <v>762</v>
      </c>
      <c r="E102" s="126">
        <f t="shared" ref="E102:S102" si="31">SUM(E103:E114)</f>
        <v>559979156.82363784</v>
      </c>
      <c r="F102" s="126">
        <f t="shared" si="31"/>
        <v>559979156.82363784</v>
      </c>
      <c r="G102" s="126">
        <f t="shared" si="31"/>
        <v>59578570.360984847</v>
      </c>
      <c r="H102" s="126">
        <f t="shared" si="31"/>
        <v>744732129.5123105</v>
      </c>
      <c r="I102" s="126">
        <f t="shared" si="31"/>
        <v>0</v>
      </c>
      <c r="J102" s="126">
        <f t="shared" si="31"/>
        <v>0</v>
      </c>
      <c r="K102" s="126">
        <f t="shared" si="31"/>
        <v>797559286.27680075</v>
      </c>
      <c r="L102" s="126">
        <f t="shared" si="31"/>
        <v>48661493678.220154</v>
      </c>
      <c r="M102" s="126">
        <f t="shared" si="31"/>
        <v>283367004.06765026</v>
      </c>
      <c r="N102" s="126">
        <f t="shared" si="31"/>
        <v>41858361.913219959</v>
      </c>
      <c r="O102" s="126">
        <f t="shared" si="31"/>
        <v>-178266902.52767086</v>
      </c>
      <c r="P102" s="126">
        <f t="shared" si="31"/>
        <v>-178266902.52767086</v>
      </c>
      <c r="Q102" s="79">
        <f t="shared" si="31"/>
        <v>1700484017.529074</v>
      </c>
      <c r="R102" s="127">
        <f t="shared" si="31"/>
        <v>50008063326.469315</v>
      </c>
      <c r="S102" s="128">
        <f t="shared" si="31"/>
        <v>-178266902.52767086</v>
      </c>
      <c r="T102" s="77"/>
    </row>
    <row r="103" spans="1:20" s="11" customFormat="1" ht="14" customHeight="1">
      <c r="A103" s="77"/>
      <c r="B103" s="761"/>
      <c r="C103" s="142" t="s">
        <v>9</v>
      </c>
      <c r="D103" s="143" t="s">
        <v>0</v>
      </c>
      <c r="E103" s="470">
        <f>SUM('Bituminous Coal'!C15:C17)</f>
        <v>559979156.82363784</v>
      </c>
      <c r="F103" s="131">
        <f>SUM('Bituminous Coal'!O15:O17)</f>
        <v>559979156.82363784</v>
      </c>
      <c r="G103" s="131">
        <f>SUMPRODUCT('Bituminous Coal'!C23:C25,'Bituminous Coal'!K23:K25)</f>
        <v>20852499.626344696</v>
      </c>
      <c r="H103" s="131">
        <f>SUMPRODUCT('Bituminous Coal'!O23:O25,'Bituminous Coal'!W23:W25)</f>
        <v>260656245.32930869</v>
      </c>
      <c r="I103" s="131">
        <v>0</v>
      </c>
      <c r="J103" s="131">
        <v>0</v>
      </c>
      <c r="K103" s="131">
        <f>'Sankey conversion input'!E53-M103</f>
        <v>39920070.680798322</v>
      </c>
      <c r="L103" s="131">
        <f>'Sankey conversion input'!D53-N103</f>
        <v>69598301.76969327</v>
      </c>
      <c r="M103" s="131">
        <f>'Bituminous Coal'!$C$32*('Sankey conversion input'!E53-'Bituminous Coal'!C31*'Bituminous Coal'!K31)/(SUM('Sankey conversion input'!E$49:E$60)-'Bituminous Coal'!$C$31)+'Bituminous Coal'!C31*'Bituminous Coal'!K31</f>
        <v>12151391.200101983</v>
      </c>
      <c r="N103" s="131">
        <f>'Bituminous Coal'!O31*'Bituminous Coal'!W31</f>
        <v>63208.878465182759</v>
      </c>
      <c r="O103" s="131">
        <v>0</v>
      </c>
      <c r="P103" s="131">
        <v>0</v>
      </c>
      <c r="Q103" s="78">
        <f t="shared" ref="Q103:Q114" si="32">SUM(E103,G103,I103,K103,M103)</f>
        <v>632903118.33088279</v>
      </c>
      <c r="R103" s="132">
        <f t="shared" ref="R103:R114" si="33">SUM(F103,H103,J103,L103,N103)</f>
        <v>890296912.8011049</v>
      </c>
      <c r="S103" s="133">
        <f t="shared" ref="S103:S114" si="34">P103</f>
        <v>0</v>
      </c>
      <c r="T103" s="77"/>
    </row>
    <row r="104" spans="1:20" s="11" customFormat="1" ht="14" customHeight="1">
      <c r="A104" s="77"/>
      <c r="B104" s="761"/>
      <c r="C104" s="142" t="s">
        <v>9</v>
      </c>
      <c r="D104" s="134" t="s">
        <v>7</v>
      </c>
      <c r="E104" s="471">
        <v>0</v>
      </c>
      <c r="F104" s="131">
        <v>0</v>
      </c>
      <c r="G104" s="131">
        <v>0</v>
      </c>
      <c r="H104" s="131">
        <v>0</v>
      </c>
      <c r="I104" s="131">
        <v>0</v>
      </c>
      <c r="J104" s="131">
        <v>0</v>
      </c>
      <c r="K104" s="131">
        <f>'Sankey conversion input'!E54-M104</f>
        <v>2708123.6905842987</v>
      </c>
      <c r="L104" s="131">
        <f>'Sankey conversion input'!D54-N104</f>
        <v>3883752.9322478292</v>
      </c>
      <c r="M104" s="131">
        <f>'Bituminous Coal'!$C$32*'Sankey conversion input'!E54/(SUM('Sankey conversion input'!E$49:E$60)-'Bituminous Coal'!$C$31)</f>
        <v>820045.96592743974</v>
      </c>
      <c r="N104" s="131">
        <v>0</v>
      </c>
      <c r="O104" s="131">
        <v>0</v>
      </c>
      <c r="P104" s="131">
        <v>0</v>
      </c>
      <c r="Q104" s="78">
        <f t="shared" si="32"/>
        <v>3528169.6565117384</v>
      </c>
      <c r="R104" s="132">
        <f t="shared" si="33"/>
        <v>3883752.9322478292</v>
      </c>
      <c r="S104" s="133">
        <f t="shared" si="34"/>
        <v>0</v>
      </c>
      <c r="T104" s="77"/>
    </row>
    <row r="105" spans="1:20" s="11" customFormat="1" ht="14" customHeight="1">
      <c r="A105" s="77"/>
      <c r="B105" s="761"/>
      <c r="C105" s="142" t="s">
        <v>9</v>
      </c>
      <c r="D105" s="135" t="s">
        <v>1</v>
      </c>
      <c r="E105" s="471">
        <v>0</v>
      </c>
      <c r="F105" s="131">
        <v>0</v>
      </c>
      <c r="G105" s="131">
        <v>0</v>
      </c>
      <c r="H105" s="131">
        <v>0</v>
      </c>
      <c r="I105" s="131">
        <v>0</v>
      </c>
      <c r="J105" s="131">
        <v>0</v>
      </c>
      <c r="K105" s="131">
        <f>'Sankey conversion input'!E55-M105</f>
        <v>0</v>
      </c>
      <c r="L105" s="131">
        <f>'Sankey conversion input'!D55-N105</f>
        <v>0</v>
      </c>
      <c r="M105" s="131">
        <f>'Bituminous Coal'!$C$32*'Sankey conversion input'!E55/(SUM('Sankey conversion input'!E$49:E$60)-'Bituminous Coal'!$C$31)</f>
        <v>0</v>
      </c>
      <c r="N105" s="131">
        <v>0</v>
      </c>
      <c r="O105" s="131">
        <v>0</v>
      </c>
      <c r="P105" s="131">
        <v>0</v>
      </c>
      <c r="Q105" s="78">
        <f t="shared" si="32"/>
        <v>0</v>
      </c>
      <c r="R105" s="132">
        <f t="shared" si="33"/>
        <v>0</v>
      </c>
      <c r="S105" s="133">
        <f t="shared" si="34"/>
        <v>0</v>
      </c>
      <c r="T105" s="77"/>
    </row>
    <row r="106" spans="1:20" s="11" customFormat="1" ht="14" customHeight="1">
      <c r="A106" s="77"/>
      <c r="B106" s="761"/>
      <c r="C106" s="144" t="s">
        <v>9</v>
      </c>
      <c r="D106" s="145" t="s">
        <v>13</v>
      </c>
      <c r="E106" s="472">
        <v>0</v>
      </c>
      <c r="F106" s="146">
        <v>0</v>
      </c>
      <c r="G106" s="146">
        <v>0</v>
      </c>
      <c r="H106" s="146">
        <v>0</v>
      </c>
      <c r="I106" s="146">
        <v>0</v>
      </c>
      <c r="J106" s="146">
        <v>0</v>
      </c>
      <c r="K106" s="146">
        <f>'Sankey conversion input'!E56-M106</f>
        <v>0</v>
      </c>
      <c r="L106" s="146">
        <f>'Sankey conversion input'!D56-N106</f>
        <v>0</v>
      </c>
      <c r="M106" s="146">
        <f>'Bituminous Coal'!$C$32*'Sankey conversion input'!E56/(SUM('Sankey conversion input'!E$49:E$60)-'Bituminous Coal'!$C$31)</f>
        <v>0</v>
      </c>
      <c r="N106" s="146">
        <f>'Bituminous Coal'!$O$32*'Sankey conversion input'!D56/SUM('Sankey conversion input'!D$49:D$60)</f>
        <v>0</v>
      </c>
      <c r="O106" s="146">
        <v>0</v>
      </c>
      <c r="P106" s="146">
        <v>0</v>
      </c>
      <c r="Q106" s="147">
        <f t="shared" si="32"/>
        <v>0</v>
      </c>
      <c r="R106" s="148">
        <f t="shared" si="33"/>
        <v>0</v>
      </c>
      <c r="S106" s="149">
        <f t="shared" si="34"/>
        <v>0</v>
      </c>
      <c r="T106" s="77"/>
    </row>
    <row r="107" spans="1:20" s="11" customFormat="1" ht="14" customHeight="1">
      <c r="A107" s="77"/>
      <c r="B107" s="761"/>
      <c r="C107" s="129" t="s">
        <v>8</v>
      </c>
      <c r="D107" s="130" t="s">
        <v>0</v>
      </c>
      <c r="E107" s="471">
        <v>0</v>
      </c>
      <c r="F107" s="131">
        <v>0</v>
      </c>
      <c r="G107" s="131">
        <f>SUMPRODUCT('Bituminous Coal'!C23:C25,'Bituminous Coal'!L23:L25)</f>
        <v>38726070.734640151</v>
      </c>
      <c r="H107" s="131">
        <f>SUMPRODUCT('Bituminous Coal'!O23:O25,'Bituminous Coal'!X23:X25)</f>
        <v>484075884.18300182</v>
      </c>
      <c r="I107" s="131">
        <v>0</v>
      </c>
      <c r="J107" s="131">
        <v>0</v>
      </c>
      <c r="K107" s="131">
        <f>'Sankey conversion input'!E49-M107</f>
        <v>700020061.96037829</v>
      </c>
      <c r="L107" s="131">
        <f>'Sankey conversion input'!D49-N107</f>
        <v>43270554907.597565</v>
      </c>
      <c r="M107" s="131">
        <f>'Bituminous Coal'!$C$32*('Sankey conversion input'!E49-'Bituminous Coal'!C31*'Bituminous Coal'!L31)/(SUM('Sankey conversion input'!E$49:E$60)-'Bituminous Coal'!$C$31)+'Bituminous Coal'!C31*'Bituminous Coal'!L31</f>
        <v>253746918.40708449</v>
      </c>
      <c r="N107" s="131">
        <f>'Bituminous Coal'!O31*'Bituminous Coal'!X31</f>
        <v>41774093.873715729</v>
      </c>
      <c r="O107" s="131">
        <f>'Bituminous Coal'!C35</f>
        <v>-178266902.52767086</v>
      </c>
      <c r="P107" s="131">
        <f>'Bituminous Coal'!O35</f>
        <v>-178266902.52767086</v>
      </c>
      <c r="Q107" s="78">
        <f t="shared" si="32"/>
        <v>992493051.10210288</v>
      </c>
      <c r="R107" s="132">
        <f t="shared" si="33"/>
        <v>43796404885.654282</v>
      </c>
      <c r="S107" s="133">
        <f t="shared" si="34"/>
        <v>-178266902.52767086</v>
      </c>
      <c r="T107" s="77"/>
    </row>
    <row r="108" spans="1:20" s="11" customFormat="1" ht="14" customHeight="1">
      <c r="A108" s="77"/>
      <c r="B108" s="761"/>
      <c r="C108" s="129" t="s">
        <v>8</v>
      </c>
      <c r="D108" s="134" t="s">
        <v>7</v>
      </c>
      <c r="E108" s="471">
        <v>0</v>
      </c>
      <c r="F108" s="131">
        <v>0</v>
      </c>
      <c r="G108" s="131">
        <v>0</v>
      </c>
      <c r="H108" s="131">
        <v>0</v>
      </c>
      <c r="I108" s="131">
        <v>0</v>
      </c>
      <c r="J108" s="131">
        <v>0</v>
      </c>
      <c r="K108" s="131">
        <f>'Sankey conversion input'!E50-M108</f>
        <v>29292675.65181949</v>
      </c>
      <c r="L108" s="131">
        <f>'Sankey conversion input'!D50-N108</f>
        <v>2885368545.2850142</v>
      </c>
      <c r="M108" s="131">
        <f>'Bituminous Coal'!$C$32*'Sankey conversion input'!E50/(SUM('Sankey conversion input'!E$49:E$60)-'Bituminous Coal'!$C$31)</f>
        <v>8870104.6348118335</v>
      </c>
      <c r="N108" s="131">
        <v>0</v>
      </c>
      <c r="O108" s="131">
        <v>0</v>
      </c>
      <c r="P108" s="131">
        <v>0</v>
      </c>
      <c r="Q108" s="78">
        <f t="shared" si="32"/>
        <v>38162780.286631323</v>
      </c>
      <c r="R108" s="132">
        <f t="shared" si="33"/>
        <v>2885368545.2850142</v>
      </c>
      <c r="S108" s="133">
        <f t="shared" si="34"/>
        <v>0</v>
      </c>
      <c r="T108" s="77"/>
    </row>
    <row r="109" spans="1:20" s="11" customFormat="1" ht="14" customHeight="1">
      <c r="A109" s="77"/>
      <c r="B109" s="761"/>
      <c r="C109" s="129" t="s">
        <v>8</v>
      </c>
      <c r="D109" s="135" t="s">
        <v>1</v>
      </c>
      <c r="E109" s="471">
        <v>0</v>
      </c>
      <c r="F109" s="131">
        <v>0</v>
      </c>
      <c r="G109" s="131">
        <v>0</v>
      </c>
      <c r="H109" s="131">
        <v>0</v>
      </c>
      <c r="I109" s="131">
        <v>0</v>
      </c>
      <c r="J109" s="131">
        <v>0</v>
      </c>
      <c r="K109" s="131">
        <f>'Sankey conversion input'!E51-M109</f>
        <v>18851063.508445852</v>
      </c>
      <c r="L109" s="131">
        <f>'Sankey conversion input'!D51-N109</f>
        <v>2407606318.3860168</v>
      </c>
      <c r="M109" s="131">
        <f>'Bituminous Coal'!$C$32*'Sankey conversion input'!E51/(SUM('Sankey conversion input'!E$49:E$60)-'Bituminous Coal'!$C$31)</f>
        <v>5708283.7971140258</v>
      </c>
      <c r="N109" s="131">
        <v>0</v>
      </c>
      <c r="O109" s="131">
        <v>0</v>
      </c>
      <c r="P109" s="131">
        <v>0</v>
      </c>
      <c r="Q109" s="78">
        <f t="shared" si="32"/>
        <v>24559347.305559877</v>
      </c>
      <c r="R109" s="132">
        <f t="shared" si="33"/>
        <v>2407606318.3860168</v>
      </c>
      <c r="S109" s="133">
        <f t="shared" si="34"/>
        <v>0</v>
      </c>
      <c r="T109" s="77"/>
    </row>
    <row r="110" spans="1:20" s="11" customFormat="1" ht="14" customHeight="1">
      <c r="A110" s="77"/>
      <c r="B110" s="761"/>
      <c r="C110" s="136" t="s">
        <v>8</v>
      </c>
      <c r="D110" s="137" t="s">
        <v>13</v>
      </c>
      <c r="E110" s="473">
        <v>0</v>
      </c>
      <c r="F110" s="138">
        <v>0</v>
      </c>
      <c r="G110" s="138">
        <v>0</v>
      </c>
      <c r="H110" s="138">
        <v>0</v>
      </c>
      <c r="I110" s="138">
        <v>0</v>
      </c>
      <c r="J110" s="138">
        <v>0</v>
      </c>
      <c r="K110" s="138">
        <f>'Sankey conversion input'!E52-M110</f>
        <v>0</v>
      </c>
      <c r="L110" s="138">
        <f>'Sankey conversion input'!D52-N110</f>
        <v>0</v>
      </c>
      <c r="M110" s="138">
        <f>'Bituminous Coal'!$C$32*'Sankey conversion input'!E52/(SUM('Sankey conversion input'!E$49:E$60)-'Bituminous Coal'!$C$31)</f>
        <v>0</v>
      </c>
      <c r="N110" s="138">
        <v>0</v>
      </c>
      <c r="O110" s="138">
        <v>0</v>
      </c>
      <c r="P110" s="138">
        <v>0</v>
      </c>
      <c r="Q110" s="139">
        <f t="shared" si="32"/>
        <v>0</v>
      </c>
      <c r="R110" s="140">
        <f t="shared" si="33"/>
        <v>0</v>
      </c>
      <c r="S110" s="141">
        <f t="shared" si="34"/>
        <v>0</v>
      </c>
      <c r="T110" s="77"/>
    </row>
    <row r="111" spans="1:20" s="11" customFormat="1" ht="14" customHeight="1">
      <c r="A111" s="77"/>
      <c r="B111" s="761"/>
      <c r="C111" s="150" t="s">
        <v>10</v>
      </c>
      <c r="D111" s="143" t="s">
        <v>0</v>
      </c>
      <c r="E111" s="471">
        <v>0</v>
      </c>
      <c r="F111" s="131">
        <v>0</v>
      </c>
      <c r="G111" s="131">
        <v>0</v>
      </c>
      <c r="H111" s="131">
        <v>0</v>
      </c>
      <c r="I111" s="131">
        <v>0</v>
      </c>
      <c r="J111" s="131">
        <v>0</v>
      </c>
      <c r="K111" s="131">
        <f>'Sankey conversion input'!E57-M111</f>
        <v>6351124.9127349872</v>
      </c>
      <c r="L111" s="131">
        <f>'Sankey conversion input'!D57-N111</f>
        <v>21825232.021717668</v>
      </c>
      <c r="M111" s="131">
        <f>'Bituminous Coal'!$C$32*('Sankey conversion input'!E57-'Bituminous Coal'!C31*'Bituminous Coal'!M31)/(SUM('Sankey conversion input'!E$49:E$60)-'Bituminous Coal'!$C$31)+'Bituminous Coal'!C31*'Bituminous Coal'!M31</f>
        <v>1944241.0237795457</v>
      </c>
      <c r="N111" s="131">
        <f>'Bituminous Coal'!O31*'Bituminous Coal'!Y31</f>
        <v>21059.161039045252</v>
      </c>
      <c r="O111" s="131">
        <v>0</v>
      </c>
      <c r="P111" s="131">
        <v>0</v>
      </c>
      <c r="Q111" s="78">
        <f t="shared" si="32"/>
        <v>8295365.9365145331</v>
      </c>
      <c r="R111" s="132">
        <f t="shared" si="33"/>
        <v>21846291.182756715</v>
      </c>
      <c r="S111" s="133">
        <f t="shared" si="34"/>
        <v>0</v>
      </c>
      <c r="T111" s="77"/>
    </row>
    <row r="112" spans="1:20" s="11" customFormat="1" ht="14" customHeight="1">
      <c r="A112" s="77"/>
      <c r="B112" s="761"/>
      <c r="C112" s="150" t="s">
        <v>10</v>
      </c>
      <c r="D112" s="134" t="s">
        <v>7</v>
      </c>
      <c r="E112" s="471">
        <v>0</v>
      </c>
      <c r="F112" s="131">
        <v>0</v>
      </c>
      <c r="G112" s="131">
        <v>0</v>
      </c>
      <c r="H112" s="131">
        <v>0</v>
      </c>
      <c r="I112" s="131">
        <v>0</v>
      </c>
      <c r="J112" s="131">
        <v>0</v>
      </c>
      <c r="K112" s="131">
        <f>'Sankey conversion input'!E58-M112</f>
        <v>264009.10868347576</v>
      </c>
      <c r="L112" s="131">
        <f>'Sankey conversion input'!D58-N112</f>
        <v>1455481.1077164526</v>
      </c>
      <c r="M112" s="131">
        <f>'Bituminous Coal'!$C$32*'Sankey conversion input'!E58/(SUM('Sankey conversion input'!E$49:E$60)-'Bituminous Coal'!$C$31)</f>
        <v>79944.503752438221</v>
      </c>
      <c r="N112" s="131">
        <v>0</v>
      </c>
      <c r="O112" s="131">
        <v>0</v>
      </c>
      <c r="P112" s="131">
        <v>0</v>
      </c>
      <c r="Q112" s="78">
        <f t="shared" si="32"/>
        <v>343953.61243591399</v>
      </c>
      <c r="R112" s="132">
        <f t="shared" si="33"/>
        <v>1455481.1077164526</v>
      </c>
      <c r="S112" s="133">
        <f t="shared" si="34"/>
        <v>0</v>
      </c>
      <c r="T112" s="77"/>
    </row>
    <row r="113" spans="1:20" s="11" customFormat="1" ht="14" customHeight="1">
      <c r="A113" s="77"/>
      <c r="B113" s="761"/>
      <c r="C113" s="150" t="s">
        <v>10</v>
      </c>
      <c r="D113" s="135" t="s">
        <v>1</v>
      </c>
      <c r="E113" s="471">
        <v>0</v>
      </c>
      <c r="F113" s="131">
        <v>0</v>
      </c>
      <c r="G113" s="131">
        <v>0</v>
      </c>
      <c r="H113" s="151">
        <v>0</v>
      </c>
      <c r="I113" s="131">
        <v>0</v>
      </c>
      <c r="J113" s="131">
        <v>0</v>
      </c>
      <c r="K113" s="131">
        <f>'Sankey conversion input'!E59-M113</f>
        <v>152156.76335614538</v>
      </c>
      <c r="L113" s="131">
        <f>'Sankey conversion input'!D59-N113</f>
        <v>1201139.1201750897</v>
      </c>
      <c r="M113" s="131">
        <f>'Bituminous Coal'!$C$32*'Sankey conversion input'!E59/(SUM('Sankey conversion input'!E$49:E$60)-'Bituminous Coal'!$C$31)</f>
        <v>46074.535078514753</v>
      </c>
      <c r="N113" s="131">
        <v>0</v>
      </c>
      <c r="O113" s="131">
        <v>0</v>
      </c>
      <c r="P113" s="131">
        <v>0</v>
      </c>
      <c r="Q113" s="78">
        <f t="shared" si="32"/>
        <v>198231.29843466013</v>
      </c>
      <c r="R113" s="132">
        <f t="shared" si="33"/>
        <v>1201139.1201750897</v>
      </c>
      <c r="S113" s="133">
        <f t="shared" si="34"/>
        <v>0</v>
      </c>
      <c r="T113" s="77"/>
    </row>
    <row r="114" spans="1:20" s="11" customFormat="1" ht="14" customHeight="1" thickBot="1">
      <c r="A114" s="77"/>
      <c r="B114" s="761"/>
      <c r="C114" s="150" t="s">
        <v>10</v>
      </c>
      <c r="D114" s="166" t="s">
        <v>13</v>
      </c>
      <c r="E114" s="471">
        <v>0</v>
      </c>
      <c r="F114" s="131">
        <v>0</v>
      </c>
      <c r="G114" s="131">
        <v>0</v>
      </c>
      <c r="H114" s="131">
        <v>0</v>
      </c>
      <c r="I114" s="131">
        <v>0</v>
      </c>
      <c r="J114" s="131">
        <v>0</v>
      </c>
      <c r="K114" s="131">
        <f>'Sankey conversion input'!E60-M114</f>
        <v>0</v>
      </c>
      <c r="L114" s="131">
        <f>'Sankey conversion input'!D60-N114</f>
        <v>0</v>
      </c>
      <c r="M114" s="131">
        <f>'Bituminous Coal'!$C$32*'Sankey conversion input'!E60/(SUM('Sankey conversion input'!E$49:E$60)-'Bituminous Coal'!$C$31)</f>
        <v>0</v>
      </c>
      <c r="N114" s="131">
        <f>'Bituminous Coal'!$O$32*'Sankey conversion input'!D60/SUM('Sankey conversion input'!D$49:D$60)</f>
        <v>0</v>
      </c>
      <c r="O114" s="131">
        <v>0</v>
      </c>
      <c r="P114" s="131">
        <v>0</v>
      </c>
      <c r="Q114" s="78">
        <f t="shared" si="32"/>
        <v>0</v>
      </c>
      <c r="R114" s="132">
        <f t="shared" si="33"/>
        <v>0</v>
      </c>
      <c r="S114" s="133">
        <f t="shared" si="34"/>
        <v>0</v>
      </c>
      <c r="T114" s="77"/>
    </row>
    <row r="115" spans="1:20" s="11" customFormat="1" ht="30" customHeight="1" thickBot="1">
      <c r="A115" s="77"/>
      <c r="B115" s="793" t="s">
        <v>22</v>
      </c>
      <c r="C115" s="794"/>
      <c r="D115" s="794"/>
      <c r="E115" s="794"/>
      <c r="F115" s="794"/>
      <c r="G115" s="794"/>
      <c r="H115" s="794"/>
      <c r="I115" s="794"/>
      <c r="J115" s="794"/>
      <c r="K115" s="794"/>
      <c r="L115" s="794"/>
      <c r="M115" s="794"/>
      <c r="N115" s="794"/>
      <c r="O115" s="794"/>
      <c r="P115" s="794"/>
      <c r="Q115" s="794"/>
      <c r="R115" s="794"/>
      <c r="S115" s="795"/>
      <c r="T115" s="77"/>
    </row>
    <row r="116" spans="1:20" s="11" customFormat="1" ht="14" customHeight="1">
      <c r="A116" s="77"/>
      <c r="B116" s="761" t="s">
        <v>32</v>
      </c>
      <c r="C116" s="120"/>
      <c r="D116" s="156"/>
      <c r="E116" s="759" t="s">
        <v>591</v>
      </c>
      <c r="F116" s="760"/>
      <c r="G116" s="756" t="s">
        <v>66</v>
      </c>
      <c r="H116" s="756"/>
      <c r="I116" s="742" t="s">
        <v>67</v>
      </c>
      <c r="J116" s="742"/>
      <c r="K116" s="743" t="s">
        <v>68</v>
      </c>
      <c r="L116" s="743"/>
      <c r="M116" s="744" t="s">
        <v>69</v>
      </c>
      <c r="N116" s="744"/>
      <c r="O116" s="745" t="s">
        <v>413</v>
      </c>
      <c r="P116" s="745"/>
      <c r="Q116" s="121" t="s">
        <v>763</v>
      </c>
      <c r="R116" s="122" t="s">
        <v>763</v>
      </c>
      <c r="S116" s="123" t="s">
        <v>763</v>
      </c>
      <c r="T116" s="77"/>
    </row>
    <row r="117" spans="1:20" s="11" customFormat="1" ht="14" customHeight="1">
      <c r="A117" s="77"/>
      <c r="B117" s="761"/>
      <c r="C117" s="120"/>
      <c r="D117" s="156"/>
      <c r="E117" s="469" t="s">
        <v>209</v>
      </c>
      <c r="F117" s="414" t="s">
        <v>208</v>
      </c>
      <c r="G117" s="414" t="s">
        <v>209</v>
      </c>
      <c r="H117" s="414" t="s">
        <v>208</v>
      </c>
      <c r="I117" s="414" t="s">
        <v>209</v>
      </c>
      <c r="J117" s="414" t="s">
        <v>208</v>
      </c>
      <c r="K117" s="414" t="s">
        <v>209</v>
      </c>
      <c r="L117" s="414" t="s">
        <v>208</v>
      </c>
      <c r="M117" s="414" t="s">
        <v>209</v>
      </c>
      <c r="N117" s="414" t="s">
        <v>208</v>
      </c>
      <c r="O117" s="414" t="s">
        <v>209</v>
      </c>
      <c r="P117" s="414" t="s">
        <v>208</v>
      </c>
      <c r="Q117" s="121" t="s">
        <v>209</v>
      </c>
      <c r="R117" s="468" t="s">
        <v>208</v>
      </c>
      <c r="S117" s="123" t="s">
        <v>413</v>
      </c>
      <c r="T117" s="77"/>
    </row>
    <row r="118" spans="1:20" s="11" customFormat="1" ht="28" customHeight="1">
      <c r="A118" s="77"/>
      <c r="B118" s="761"/>
      <c r="C118" s="124" t="s">
        <v>761</v>
      </c>
      <c r="D118" s="125" t="s">
        <v>762</v>
      </c>
      <c r="E118" s="126">
        <f t="shared" ref="E118:S118" si="35">SUM(E119:E130)</f>
        <v>33221472.056796219</v>
      </c>
      <c r="F118" s="126">
        <f t="shared" si="35"/>
        <v>33219481.213253096</v>
      </c>
      <c r="G118" s="126">
        <f t="shared" si="35"/>
        <v>0</v>
      </c>
      <c r="H118" s="126">
        <f t="shared" si="35"/>
        <v>0</v>
      </c>
      <c r="I118" s="126">
        <f t="shared" si="35"/>
        <v>0</v>
      </c>
      <c r="J118" s="126">
        <f t="shared" si="35"/>
        <v>0</v>
      </c>
      <c r="K118" s="126">
        <f t="shared" si="35"/>
        <v>121740716.01708618</v>
      </c>
      <c r="L118" s="126">
        <f t="shared" si="35"/>
        <v>6450229847.2601929</v>
      </c>
      <c r="M118" s="126">
        <f t="shared" si="35"/>
        <v>4180005.0685660043</v>
      </c>
      <c r="N118" s="126">
        <f t="shared" si="35"/>
        <v>4180005.0685660043</v>
      </c>
      <c r="O118" s="126">
        <f t="shared" si="35"/>
        <v>-22966689.002292536</v>
      </c>
      <c r="P118" s="126">
        <f t="shared" si="35"/>
        <v>-22966689.002292536</v>
      </c>
      <c r="Q118" s="79">
        <f t="shared" si="35"/>
        <v>159142193.1424484</v>
      </c>
      <c r="R118" s="127">
        <f t="shared" si="35"/>
        <v>6487629333.5420122</v>
      </c>
      <c r="S118" s="128">
        <f t="shared" si="35"/>
        <v>-22966689.002292536</v>
      </c>
      <c r="T118" s="77"/>
    </row>
    <row r="119" spans="1:20" s="11" customFormat="1" ht="14" customHeight="1">
      <c r="A119" s="77"/>
      <c r="B119" s="761"/>
      <c r="C119" s="142" t="s">
        <v>9</v>
      </c>
      <c r="D119" s="143" t="s">
        <v>0</v>
      </c>
      <c r="E119" s="470">
        <f>SUM('Lignite Coal'!C15:C16)</f>
        <v>33221472.056796219</v>
      </c>
      <c r="F119" s="131">
        <f>SUM('Lignite Coal'!O15:O16)</f>
        <v>33219481.213253096</v>
      </c>
      <c r="G119" s="131">
        <v>0</v>
      </c>
      <c r="H119" s="131">
        <v>0</v>
      </c>
      <c r="I119" s="131">
        <v>0</v>
      </c>
      <c r="J119" s="131">
        <v>0</v>
      </c>
      <c r="K119" s="131">
        <f>'Sankey conversion input'!E67-M119</f>
        <v>8476951.5668514445</v>
      </c>
      <c r="L119" s="131">
        <f>'Sankey conversion input'!D67-N119</f>
        <v>9418999.4636984151</v>
      </c>
      <c r="M119" s="131">
        <f>'Lignite Coal'!C24*'Lignite Coal'!K24</f>
        <v>9359.0721733087503</v>
      </c>
      <c r="N119" s="131">
        <f>'Lignite Coal'!O24*'Lignite Coal'!W24</f>
        <v>9359.0721733087503</v>
      </c>
      <c r="O119" s="131">
        <v>0</v>
      </c>
      <c r="P119" s="131">
        <v>0</v>
      </c>
      <c r="Q119" s="78">
        <f t="shared" ref="Q119:Q130" si="36">SUM(E119,G119,I119,K119,M119)</f>
        <v>41707782.695820972</v>
      </c>
      <c r="R119" s="132">
        <f t="shared" ref="R119:R130" si="37">SUM(F119,H119,J119,L119,N119)</f>
        <v>42647839.749124825</v>
      </c>
      <c r="S119" s="133">
        <f t="shared" ref="S119:S130" si="38">P119</f>
        <v>0</v>
      </c>
      <c r="T119" s="77"/>
    </row>
    <row r="120" spans="1:20" s="11" customFormat="1" ht="14" customHeight="1">
      <c r="A120" s="77"/>
      <c r="B120" s="761"/>
      <c r="C120" s="142" t="s">
        <v>9</v>
      </c>
      <c r="D120" s="134" t="s">
        <v>7</v>
      </c>
      <c r="E120" s="471">
        <v>0</v>
      </c>
      <c r="F120" s="131">
        <v>0</v>
      </c>
      <c r="G120" s="131">
        <v>0</v>
      </c>
      <c r="H120" s="131">
        <v>0</v>
      </c>
      <c r="I120" s="131">
        <v>0</v>
      </c>
      <c r="J120" s="131">
        <v>0</v>
      </c>
      <c r="K120" s="131">
        <f>'Sankey conversion input'!E68-M120</f>
        <v>0</v>
      </c>
      <c r="L120" s="131">
        <f>'Sankey conversion input'!D68-N120</f>
        <v>0</v>
      </c>
      <c r="M120" s="131">
        <v>0</v>
      </c>
      <c r="N120" s="131">
        <v>0</v>
      </c>
      <c r="O120" s="131">
        <v>0</v>
      </c>
      <c r="P120" s="131">
        <v>0</v>
      </c>
      <c r="Q120" s="78">
        <f t="shared" si="36"/>
        <v>0</v>
      </c>
      <c r="R120" s="132">
        <f t="shared" si="37"/>
        <v>0</v>
      </c>
      <c r="S120" s="133">
        <f t="shared" si="38"/>
        <v>0</v>
      </c>
      <c r="T120" s="77"/>
    </row>
    <row r="121" spans="1:20" s="11" customFormat="1" ht="14" customHeight="1">
      <c r="A121" s="77"/>
      <c r="B121" s="761"/>
      <c r="C121" s="142" t="s">
        <v>9</v>
      </c>
      <c r="D121" s="135" t="s">
        <v>1</v>
      </c>
      <c r="E121" s="471">
        <v>0</v>
      </c>
      <c r="F121" s="131">
        <v>0</v>
      </c>
      <c r="G121" s="131">
        <v>0</v>
      </c>
      <c r="H121" s="131">
        <v>0</v>
      </c>
      <c r="I121" s="131">
        <v>0</v>
      </c>
      <c r="J121" s="131">
        <v>0</v>
      </c>
      <c r="K121" s="131">
        <f>'Sankey conversion input'!E69-M121</f>
        <v>4538085.9414762259</v>
      </c>
      <c r="L121" s="131">
        <f>'Sankey conversion input'!D69-N121</f>
        <v>5023128.161675103</v>
      </c>
      <c r="M121" s="131">
        <v>0</v>
      </c>
      <c r="N121" s="131">
        <v>0</v>
      </c>
      <c r="O121" s="131">
        <v>0</v>
      </c>
      <c r="P121" s="131">
        <v>0</v>
      </c>
      <c r="Q121" s="78">
        <f t="shared" si="36"/>
        <v>4538085.9414762259</v>
      </c>
      <c r="R121" s="132">
        <f t="shared" si="37"/>
        <v>5023128.161675103</v>
      </c>
      <c r="S121" s="133">
        <f t="shared" si="38"/>
        <v>0</v>
      </c>
      <c r="T121" s="77"/>
    </row>
    <row r="122" spans="1:20" s="11" customFormat="1" ht="14" customHeight="1">
      <c r="A122" s="77"/>
      <c r="B122" s="761"/>
      <c r="C122" s="144" t="s">
        <v>9</v>
      </c>
      <c r="D122" s="145" t="s">
        <v>13</v>
      </c>
      <c r="E122" s="472">
        <v>0</v>
      </c>
      <c r="F122" s="146">
        <v>0</v>
      </c>
      <c r="G122" s="146">
        <v>0</v>
      </c>
      <c r="H122" s="146">
        <v>0</v>
      </c>
      <c r="I122" s="146">
        <v>0</v>
      </c>
      <c r="J122" s="146">
        <v>0</v>
      </c>
      <c r="K122" s="146">
        <f>'Sankey conversion input'!E70-M122</f>
        <v>0</v>
      </c>
      <c r="L122" s="146">
        <f>'Sankey conversion input'!D70-N122</f>
        <v>0</v>
      </c>
      <c r="M122" s="146">
        <v>0</v>
      </c>
      <c r="N122" s="146">
        <v>0</v>
      </c>
      <c r="O122" s="146">
        <v>0</v>
      </c>
      <c r="P122" s="146">
        <v>0</v>
      </c>
      <c r="Q122" s="147">
        <f t="shared" si="36"/>
        <v>0</v>
      </c>
      <c r="R122" s="148">
        <f t="shared" si="37"/>
        <v>0</v>
      </c>
      <c r="S122" s="149">
        <f t="shared" si="38"/>
        <v>0</v>
      </c>
      <c r="T122" s="77"/>
    </row>
    <row r="123" spans="1:20" s="11" customFormat="1" ht="14" customHeight="1">
      <c r="A123" s="77"/>
      <c r="B123" s="761"/>
      <c r="C123" s="129" t="s">
        <v>8</v>
      </c>
      <c r="D123" s="130" t="s">
        <v>0</v>
      </c>
      <c r="E123" s="471">
        <v>0</v>
      </c>
      <c r="F123" s="131">
        <v>0</v>
      </c>
      <c r="G123" s="131">
        <v>0</v>
      </c>
      <c r="H123" s="131">
        <v>0</v>
      </c>
      <c r="I123" s="131">
        <v>0</v>
      </c>
      <c r="J123" s="131">
        <v>0</v>
      </c>
      <c r="K123" s="131">
        <f>'Sankey conversion input'!E63-M123</f>
        <v>108668046.75397506</v>
      </c>
      <c r="L123" s="131">
        <f>'Sankey conversion input'!D63-N123</f>
        <v>6435723923.475709</v>
      </c>
      <c r="M123" s="131">
        <f>'Lignite Coal'!C24*'Lignite Coal'!L24</f>
        <v>4170604.6539483569</v>
      </c>
      <c r="N123" s="131">
        <f>'Lignite Coal'!O24*'Lignite Coal'!X24</f>
        <v>4170604.6539483569</v>
      </c>
      <c r="O123" s="131">
        <f>'Lignite Coal'!C28</f>
        <v>-22966689.002292536</v>
      </c>
      <c r="P123" s="131">
        <f>'Lignite Coal'!O28</f>
        <v>-22966689.002292536</v>
      </c>
      <c r="Q123" s="78">
        <f t="shared" si="36"/>
        <v>112838651.40792342</v>
      </c>
      <c r="R123" s="132">
        <f t="shared" si="37"/>
        <v>6439894528.1296577</v>
      </c>
      <c r="S123" s="133">
        <f t="shared" si="38"/>
        <v>-22966689.002292536</v>
      </c>
      <c r="T123" s="77"/>
    </row>
    <row r="124" spans="1:20" s="11" customFormat="1" ht="14" customHeight="1">
      <c r="A124" s="77"/>
      <c r="B124" s="761"/>
      <c r="C124" s="129" t="s">
        <v>8</v>
      </c>
      <c r="D124" s="134" t="s">
        <v>7</v>
      </c>
      <c r="E124" s="471">
        <v>0</v>
      </c>
      <c r="F124" s="131">
        <v>0</v>
      </c>
      <c r="G124" s="131">
        <v>0</v>
      </c>
      <c r="H124" s="131">
        <v>0</v>
      </c>
      <c r="I124" s="131">
        <v>0</v>
      </c>
      <c r="J124" s="131">
        <v>0</v>
      </c>
      <c r="K124" s="131">
        <f>'Sankey conversion input'!E64-M124</f>
        <v>0</v>
      </c>
      <c r="L124" s="131">
        <f>'Sankey conversion input'!D64-N124</f>
        <v>0</v>
      </c>
      <c r="M124" s="131">
        <v>0</v>
      </c>
      <c r="N124" s="131">
        <v>0</v>
      </c>
      <c r="O124" s="131">
        <v>0</v>
      </c>
      <c r="P124" s="131">
        <v>0</v>
      </c>
      <c r="Q124" s="78">
        <f t="shared" si="36"/>
        <v>0</v>
      </c>
      <c r="R124" s="132">
        <f t="shared" si="37"/>
        <v>0</v>
      </c>
      <c r="S124" s="133">
        <f t="shared" si="38"/>
        <v>0</v>
      </c>
      <c r="T124" s="77"/>
    </row>
    <row r="125" spans="1:20" s="11" customFormat="1" ht="14" customHeight="1">
      <c r="A125" s="77"/>
      <c r="B125" s="761"/>
      <c r="C125" s="129" t="s">
        <v>8</v>
      </c>
      <c r="D125" s="135" t="s">
        <v>1</v>
      </c>
      <c r="E125" s="471">
        <v>0</v>
      </c>
      <c r="F125" s="131">
        <v>0</v>
      </c>
      <c r="G125" s="131">
        <v>0</v>
      </c>
      <c r="H125" s="131">
        <v>0</v>
      </c>
      <c r="I125" s="131">
        <v>0</v>
      </c>
      <c r="J125" s="131">
        <v>0</v>
      </c>
      <c r="K125" s="131">
        <f>'Sankey conversion input'!E65-M125</f>
        <v>0</v>
      </c>
      <c r="L125" s="131">
        <f>'Sankey conversion input'!D65-N125</f>
        <v>0</v>
      </c>
      <c r="M125" s="131">
        <v>0</v>
      </c>
      <c r="N125" s="131">
        <v>0</v>
      </c>
      <c r="O125" s="131">
        <v>0</v>
      </c>
      <c r="P125" s="131">
        <v>0</v>
      </c>
      <c r="Q125" s="78">
        <f t="shared" si="36"/>
        <v>0</v>
      </c>
      <c r="R125" s="132">
        <f t="shared" si="37"/>
        <v>0</v>
      </c>
      <c r="S125" s="133">
        <f t="shared" si="38"/>
        <v>0</v>
      </c>
      <c r="T125" s="77"/>
    </row>
    <row r="126" spans="1:20" s="11" customFormat="1" ht="14" customHeight="1">
      <c r="A126" s="77"/>
      <c r="B126" s="761"/>
      <c r="C126" s="136" t="s">
        <v>8</v>
      </c>
      <c r="D126" s="137" t="s">
        <v>13</v>
      </c>
      <c r="E126" s="473">
        <v>0</v>
      </c>
      <c r="F126" s="138">
        <v>0</v>
      </c>
      <c r="G126" s="138">
        <v>0</v>
      </c>
      <c r="H126" s="138">
        <v>0</v>
      </c>
      <c r="I126" s="138">
        <v>0</v>
      </c>
      <c r="J126" s="138">
        <v>0</v>
      </c>
      <c r="K126" s="138">
        <f>'Sankey conversion input'!E66-M126</f>
        <v>0</v>
      </c>
      <c r="L126" s="138">
        <f>'Sankey conversion input'!D66-N126</f>
        <v>0</v>
      </c>
      <c r="M126" s="138">
        <v>0</v>
      </c>
      <c r="N126" s="138">
        <v>0</v>
      </c>
      <c r="O126" s="138">
        <v>0</v>
      </c>
      <c r="P126" s="138">
        <v>0</v>
      </c>
      <c r="Q126" s="139">
        <f t="shared" si="36"/>
        <v>0</v>
      </c>
      <c r="R126" s="140">
        <f t="shared" si="37"/>
        <v>0</v>
      </c>
      <c r="S126" s="141">
        <f t="shared" si="38"/>
        <v>0</v>
      </c>
      <c r="T126" s="77"/>
    </row>
    <row r="127" spans="1:20" s="11" customFormat="1" ht="14" customHeight="1">
      <c r="A127" s="77"/>
      <c r="B127" s="761"/>
      <c r="C127" s="150" t="s">
        <v>10</v>
      </c>
      <c r="D127" s="143" t="s">
        <v>0</v>
      </c>
      <c r="E127" s="471">
        <v>0</v>
      </c>
      <c r="F127" s="131">
        <v>0</v>
      </c>
      <c r="G127" s="131">
        <v>0</v>
      </c>
      <c r="H127" s="131">
        <v>0</v>
      </c>
      <c r="I127" s="131">
        <v>0</v>
      </c>
      <c r="J127" s="131">
        <v>0</v>
      </c>
      <c r="K127" s="131">
        <f>'Sankey conversion input'!E71-M127</f>
        <v>55552.308306398612</v>
      </c>
      <c r="L127" s="131">
        <f>'Sankey conversion input'!D71-N127</f>
        <v>63746.477244187321</v>
      </c>
      <c r="M127" s="131">
        <f>'Lignite Coal'!C24*'Lignite Coal'!M24</f>
        <v>41.342444339034287</v>
      </c>
      <c r="N127" s="131">
        <f>'Lignite Coal'!O24*'Lignite Coal'!Y24</f>
        <v>41.342444339034287</v>
      </c>
      <c r="O127" s="131">
        <v>0</v>
      </c>
      <c r="P127" s="131">
        <v>0</v>
      </c>
      <c r="Q127" s="78">
        <f t="shared" si="36"/>
        <v>55593.650750737645</v>
      </c>
      <c r="R127" s="132">
        <f t="shared" si="37"/>
        <v>63787.819688526353</v>
      </c>
      <c r="S127" s="133">
        <f t="shared" si="38"/>
        <v>0</v>
      </c>
      <c r="T127" s="77"/>
    </row>
    <row r="128" spans="1:20" s="11" customFormat="1" ht="14" customHeight="1">
      <c r="A128" s="77"/>
      <c r="B128" s="761"/>
      <c r="C128" s="150" t="s">
        <v>10</v>
      </c>
      <c r="D128" s="134" t="s">
        <v>7</v>
      </c>
      <c r="E128" s="471">
        <v>0</v>
      </c>
      <c r="F128" s="131">
        <v>0</v>
      </c>
      <c r="G128" s="131">
        <v>0</v>
      </c>
      <c r="H128" s="131">
        <v>0</v>
      </c>
      <c r="I128" s="131">
        <v>0</v>
      </c>
      <c r="J128" s="131">
        <v>0</v>
      </c>
      <c r="K128" s="131">
        <f>'Sankey conversion input'!E72-M128</f>
        <v>0</v>
      </c>
      <c r="L128" s="131">
        <f>'Sankey conversion input'!D72-N128</f>
        <v>0</v>
      </c>
      <c r="M128" s="131">
        <v>0</v>
      </c>
      <c r="N128" s="131">
        <v>0</v>
      </c>
      <c r="O128" s="131">
        <v>0</v>
      </c>
      <c r="P128" s="131">
        <v>0</v>
      </c>
      <c r="Q128" s="78">
        <f t="shared" si="36"/>
        <v>0</v>
      </c>
      <c r="R128" s="132">
        <f t="shared" si="37"/>
        <v>0</v>
      </c>
      <c r="S128" s="133">
        <f t="shared" si="38"/>
        <v>0</v>
      </c>
      <c r="T128" s="77"/>
    </row>
    <row r="129" spans="1:24" s="11" customFormat="1" ht="14" customHeight="1">
      <c r="A129" s="77"/>
      <c r="B129" s="761"/>
      <c r="C129" s="150" t="s">
        <v>10</v>
      </c>
      <c r="D129" s="135" t="s">
        <v>1</v>
      </c>
      <c r="E129" s="471">
        <v>0</v>
      </c>
      <c r="F129" s="131">
        <v>0</v>
      </c>
      <c r="G129" s="131">
        <v>0</v>
      </c>
      <c r="H129" s="151">
        <v>0</v>
      </c>
      <c r="I129" s="131">
        <v>0</v>
      </c>
      <c r="J129" s="131">
        <v>0</v>
      </c>
      <c r="K129" s="131">
        <f>'Sankey conversion input'!E73-M129</f>
        <v>2079.4464770542068</v>
      </c>
      <c r="L129" s="131">
        <f>'Sankey conversion input'!D73-N129</f>
        <v>49.681865690392357</v>
      </c>
      <c r="M129" s="131">
        <v>0</v>
      </c>
      <c r="N129" s="131">
        <v>0</v>
      </c>
      <c r="O129" s="131">
        <v>0</v>
      </c>
      <c r="P129" s="131">
        <v>0</v>
      </c>
      <c r="Q129" s="78">
        <f t="shared" si="36"/>
        <v>2079.4464770542068</v>
      </c>
      <c r="R129" s="132">
        <f t="shared" si="37"/>
        <v>49.681865690392357</v>
      </c>
      <c r="S129" s="133">
        <f t="shared" si="38"/>
        <v>0</v>
      </c>
      <c r="T129" s="77"/>
    </row>
    <row r="130" spans="1:24" s="11" customFormat="1" ht="14" customHeight="1" thickBot="1">
      <c r="A130" s="77"/>
      <c r="B130" s="761"/>
      <c r="C130" s="150" t="s">
        <v>10</v>
      </c>
      <c r="D130" s="166" t="s">
        <v>13</v>
      </c>
      <c r="E130" s="471">
        <v>0</v>
      </c>
      <c r="F130" s="131">
        <v>0</v>
      </c>
      <c r="G130" s="131">
        <v>0</v>
      </c>
      <c r="H130" s="131">
        <v>0</v>
      </c>
      <c r="I130" s="131">
        <v>0</v>
      </c>
      <c r="J130" s="131">
        <v>0</v>
      </c>
      <c r="K130" s="131">
        <f>'Sankey conversion input'!E74-M130</f>
        <v>0</v>
      </c>
      <c r="L130" s="131">
        <f>'Sankey conversion input'!D74-N130</f>
        <v>0</v>
      </c>
      <c r="M130" s="131">
        <v>0</v>
      </c>
      <c r="N130" s="131">
        <f>0</f>
        <v>0</v>
      </c>
      <c r="O130" s="131">
        <v>0</v>
      </c>
      <c r="P130" s="131">
        <v>0</v>
      </c>
      <c r="Q130" s="78">
        <f t="shared" si="36"/>
        <v>0</v>
      </c>
      <c r="R130" s="132">
        <f t="shared" si="37"/>
        <v>0</v>
      </c>
      <c r="S130" s="133">
        <f t="shared" si="38"/>
        <v>0</v>
      </c>
      <c r="T130" s="77"/>
    </row>
    <row r="131" spans="1:24" s="11" customFormat="1" ht="30" customHeight="1" thickBot="1">
      <c r="A131" s="77"/>
      <c r="B131" s="790" t="s">
        <v>27</v>
      </c>
      <c r="C131" s="791"/>
      <c r="D131" s="791"/>
      <c r="E131" s="791"/>
      <c r="F131" s="791"/>
      <c r="G131" s="791"/>
      <c r="H131" s="791"/>
      <c r="I131" s="791"/>
      <c r="J131" s="791"/>
      <c r="K131" s="791"/>
      <c r="L131" s="791"/>
      <c r="M131" s="791"/>
      <c r="N131" s="791"/>
      <c r="O131" s="791"/>
      <c r="P131" s="791"/>
      <c r="Q131" s="791"/>
      <c r="R131" s="791"/>
      <c r="S131" s="792"/>
      <c r="T131" s="77"/>
    </row>
    <row r="132" spans="1:24" s="11" customFormat="1" ht="14" customHeight="1">
      <c r="A132" s="77"/>
      <c r="B132" s="761" t="s">
        <v>32</v>
      </c>
      <c r="C132" s="120"/>
      <c r="D132" s="156"/>
      <c r="E132" s="759" t="s">
        <v>591</v>
      </c>
      <c r="F132" s="760"/>
      <c r="G132" s="756" t="s">
        <v>66</v>
      </c>
      <c r="H132" s="756"/>
      <c r="I132" s="742" t="s">
        <v>67</v>
      </c>
      <c r="J132" s="742"/>
      <c r="K132" s="743" t="s">
        <v>68</v>
      </c>
      <c r="L132" s="743"/>
      <c r="M132" s="744" t="s">
        <v>69</v>
      </c>
      <c r="N132" s="744"/>
      <c r="O132" s="745" t="s">
        <v>413</v>
      </c>
      <c r="P132" s="745"/>
      <c r="Q132" s="121" t="s">
        <v>763</v>
      </c>
      <c r="R132" s="122" t="s">
        <v>763</v>
      </c>
      <c r="S132" s="123" t="s">
        <v>763</v>
      </c>
      <c r="T132" s="77"/>
    </row>
    <row r="133" spans="1:24" s="11" customFormat="1" ht="14" customHeight="1">
      <c r="A133" s="77"/>
      <c r="B133" s="761"/>
      <c r="C133" s="120"/>
      <c r="D133" s="156"/>
      <c r="E133" s="469" t="s">
        <v>209</v>
      </c>
      <c r="F133" s="414" t="s">
        <v>208</v>
      </c>
      <c r="G133" s="414" t="s">
        <v>209</v>
      </c>
      <c r="H133" s="414" t="s">
        <v>208</v>
      </c>
      <c r="I133" s="414" t="s">
        <v>209</v>
      </c>
      <c r="J133" s="414" t="s">
        <v>208</v>
      </c>
      <c r="K133" s="414" t="s">
        <v>209</v>
      </c>
      <c r="L133" s="414" t="s">
        <v>208</v>
      </c>
      <c r="M133" s="414" t="s">
        <v>209</v>
      </c>
      <c r="N133" s="414" t="s">
        <v>208</v>
      </c>
      <c r="O133" s="414" t="s">
        <v>209</v>
      </c>
      <c r="P133" s="414" t="s">
        <v>208</v>
      </c>
      <c r="Q133" s="121" t="s">
        <v>209</v>
      </c>
      <c r="R133" s="468" t="s">
        <v>208</v>
      </c>
      <c r="S133" s="123" t="s">
        <v>413</v>
      </c>
      <c r="T133" s="77"/>
    </row>
    <row r="134" spans="1:24" s="11" customFormat="1" ht="28" customHeight="1">
      <c r="A134" s="77"/>
      <c r="B134" s="761"/>
      <c r="C134" s="124" t="s">
        <v>761</v>
      </c>
      <c r="D134" s="125" t="s">
        <v>762</v>
      </c>
      <c r="E134" s="126">
        <f t="shared" ref="E134:S134" si="39">SUM(E135:E146)</f>
        <v>121110485.63673739</v>
      </c>
      <c r="F134" s="126">
        <f t="shared" si="39"/>
        <v>121110485.63673739</v>
      </c>
      <c r="G134" s="126">
        <f t="shared" si="39"/>
        <v>31566304.029177263</v>
      </c>
      <c r="H134" s="126">
        <f t="shared" si="39"/>
        <v>43850346.841487557</v>
      </c>
      <c r="I134" s="126">
        <f t="shared" si="39"/>
        <v>57786314.624112993</v>
      </c>
      <c r="J134" s="126">
        <f t="shared" si="39"/>
        <v>59283807.609195977</v>
      </c>
      <c r="K134" s="126">
        <f t="shared" si="39"/>
        <v>485661157.27532089</v>
      </c>
      <c r="L134" s="126">
        <f t="shared" si="39"/>
        <v>9152368221.389513</v>
      </c>
      <c r="M134" s="126">
        <f t="shared" si="39"/>
        <v>0</v>
      </c>
      <c r="N134" s="126">
        <f t="shared" si="39"/>
        <v>0</v>
      </c>
      <c r="O134" s="126">
        <f t="shared" si="39"/>
        <v>-553984112.41544533</v>
      </c>
      <c r="P134" s="126">
        <f t="shared" si="39"/>
        <v>-553984112.41544533</v>
      </c>
      <c r="Q134" s="79">
        <f t="shared" si="39"/>
        <v>696124261.56534851</v>
      </c>
      <c r="R134" s="127">
        <f t="shared" si="39"/>
        <v>9376612861.4769344</v>
      </c>
      <c r="S134" s="128">
        <f t="shared" si="39"/>
        <v>-553984112.41544533</v>
      </c>
      <c r="T134" s="77"/>
      <c r="V134" s="27"/>
    </row>
    <row r="135" spans="1:24" s="11" customFormat="1" ht="14" customHeight="1">
      <c r="A135" s="77"/>
      <c r="B135" s="761"/>
      <c r="C135" s="142" t="s">
        <v>9</v>
      </c>
      <c r="D135" s="143" t="s">
        <v>0</v>
      </c>
      <c r="E135" s="470">
        <f>10^6*('Intermediate o&amp;g entries'!H14)</f>
        <v>7069215.6492909901</v>
      </c>
      <c r="F135" s="131">
        <f>10^6*('Intermediate o&amp;g entries'!H14)</f>
        <v>7069215.6492909901</v>
      </c>
      <c r="G135" s="131">
        <f>SUMPRODUCT('Conventional Natural Gas'!C20:C23,'Conventional Natural Gas'!K20:K23)</f>
        <v>10022562.857721739</v>
      </c>
      <c r="H135" s="131">
        <f>SUMPRODUCT('Conventional Natural Gas'!O20:O23,'Conventional Natural Gas'!W20:W23)</f>
        <v>14908889.062702011</v>
      </c>
      <c r="I135" s="131">
        <f>'Conventional Natural Gas'!O27*'Conventional Natural Gas'!K27</f>
        <v>11556485.372659301</v>
      </c>
      <c r="J135" s="131">
        <f>'Conventional Natural Gas'!O26*'Conventional Natural Gas'!W26+'Conventional Natural Gas'!O27*'Conventional Natural Gas'!W27</f>
        <v>12155056.102798905</v>
      </c>
      <c r="K135" s="131">
        <f>conv_ng_pct*'Sankey conversion input'!E81-M135</f>
        <v>136414743.31347197</v>
      </c>
      <c r="L135" s="131">
        <f>conv_ng_pct*'Sankey conversion input'!D81-N135</f>
        <v>173122482.05886409</v>
      </c>
      <c r="M135" s="131">
        <v>0</v>
      </c>
      <c r="N135" s="131">
        <v>0</v>
      </c>
      <c r="O135" s="131">
        <v>0</v>
      </c>
      <c r="P135" s="131">
        <v>0</v>
      </c>
      <c r="Q135" s="78">
        <f t="shared" ref="Q135:Q146" si="40">SUM(E135,G135,I135,K135,M135)</f>
        <v>165063007.19314399</v>
      </c>
      <c r="R135" s="132">
        <f t="shared" ref="R135:R146" si="41">SUM(F135,H135,J135,L135,N135)</f>
        <v>207255642.87365597</v>
      </c>
      <c r="S135" s="133">
        <f t="shared" ref="S135:S146" si="42">P135</f>
        <v>0</v>
      </c>
      <c r="T135" s="77"/>
      <c r="V135" s="27"/>
    </row>
    <row r="136" spans="1:24" s="11" customFormat="1" ht="14" customHeight="1">
      <c r="A136" s="77"/>
      <c r="B136" s="761"/>
      <c r="C136" s="142" t="s">
        <v>9</v>
      </c>
      <c r="D136" s="134" t="s">
        <v>7</v>
      </c>
      <c r="E136" s="471">
        <f>10^6*('Intermediate o&amp;g entries'!W18)</f>
        <v>0</v>
      </c>
      <c r="F136" s="131">
        <f>10^6*('Intermediate o&amp;g entries'!W18)</f>
        <v>0</v>
      </c>
      <c r="G136" s="131">
        <v>0</v>
      </c>
      <c r="H136" s="131">
        <v>0</v>
      </c>
      <c r="I136" s="131">
        <v>0</v>
      </c>
      <c r="J136" s="131">
        <v>0</v>
      </c>
      <c r="K136" s="131">
        <f>conv_ng_pct*'Sankey conversion input'!E82-M136</f>
        <v>369178.73732867808</v>
      </c>
      <c r="L136" s="131">
        <f>conv_ng_pct*'Sankey conversion input'!D82-N136</f>
        <v>454152.18104703294</v>
      </c>
      <c r="M136" s="131">
        <v>0</v>
      </c>
      <c r="N136" s="131">
        <v>0</v>
      </c>
      <c r="O136" s="131">
        <v>0</v>
      </c>
      <c r="P136" s="131">
        <v>0</v>
      </c>
      <c r="Q136" s="78">
        <f t="shared" si="40"/>
        <v>369178.73732867808</v>
      </c>
      <c r="R136" s="132">
        <f t="shared" si="41"/>
        <v>454152.18104703294</v>
      </c>
      <c r="S136" s="133">
        <f t="shared" si="42"/>
        <v>0</v>
      </c>
      <c r="T136" s="77"/>
      <c r="V136" s="27"/>
    </row>
    <row r="137" spans="1:24" s="11" customFormat="1" ht="14" customHeight="1">
      <c r="A137" s="77"/>
      <c r="B137" s="761"/>
      <c r="C137" s="142" t="s">
        <v>9</v>
      </c>
      <c r="D137" s="135" t="s">
        <v>1</v>
      </c>
      <c r="E137" s="471"/>
      <c r="F137" s="131">
        <v>0</v>
      </c>
      <c r="G137" s="131">
        <v>0</v>
      </c>
      <c r="H137" s="131">
        <v>0</v>
      </c>
      <c r="I137" s="131">
        <v>0</v>
      </c>
      <c r="J137" s="131">
        <v>0</v>
      </c>
      <c r="K137" s="131">
        <f>conv_ng_pct*'Sankey conversion input'!E83-M137</f>
        <v>836194.98521206749</v>
      </c>
      <c r="L137" s="131">
        <f>conv_ng_pct*'Sankey conversion input'!D83-N137</f>
        <v>1032166.6076321085</v>
      </c>
      <c r="M137" s="131">
        <v>0</v>
      </c>
      <c r="N137" s="131">
        <v>0</v>
      </c>
      <c r="O137" s="131">
        <v>0</v>
      </c>
      <c r="P137" s="131">
        <v>0</v>
      </c>
      <c r="Q137" s="78">
        <f t="shared" si="40"/>
        <v>836194.98521206749</v>
      </c>
      <c r="R137" s="132">
        <f t="shared" si="41"/>
        <v>1032166.6076321085</v>
      </c>
      <c r="S137" s="133">
        <f t="shared" si="42"/>
        <v>0</v>
      </c>
      <c r="T137" s="77"/>
      <c r="V137" s="27"/>
    </row>
    <row r="138" spans="1:24" s="11" customFormat="1" ht="14" customHeight="1">
      <c r="A138" s="77"/>
      <c r="B138" s="761"/>
      <c r="C138" s="144" t="s">
        <v>9</v>
      </c>
      <c r="D138" s="145" t="s">
        <v>13</v>
      </c>
      <c r="E138" s="472">
        <f>10^6*('Intermediate o&amp;g entries'!W20)-E146</f>
        <v>109215351.02580056</v>
      </c>
      <c r="F138" s="146">
        <f>10^6*('Intermediate o&amp;g entries'!W20)</f>
        <v>110234769.25321279</v>
      </c>
      <c r="G138" s="146">
        <f>'Conventional Natural Gas'!C19</f>
        <v>6384747.4255916988</v>
      </c>
      <c r="H138" s="146">
        <f>'Conventional Natural Gas'!O19</f>
        <v>6384747.4255916988</v>
      </c>
      <c r="I138" s="146">
        <v>0</v>
      </c>
      <c r="J138" s="146">
        <v>0</v>
      </c>
      <c r="K138" s="146">
        <f>conv_ng_pct*'Sankey conversion input'!E84-M138</f>
        <v>0</v>
      </c>
      <c r="L138" s="146">
        <f>conv_ng_pct*'Sankey conversion input'!D84-N138</f>
        <v>0</v>
      </c>
      <c r="M138" s="146">
        <v>0</v>
      </c>
      <c r="N138" s="146">
        <v>0</v>
      </c>
      <c r="O138" s="146">
        <v>0</v>
      </c>
      <c r="P138" s="146">
        <v>0</v>
      </c>
      <c r="Q138" s="147">
        <f t="shared" si="40"/>
        <v>115600098.45139225</v>
      </c>
      <c r="R138" s="148">
        <f t="shared" si="41"/>
        <v>116619516.67880449</v>
      </c>
      <c r="S138" s="149">
        <f t="shared" si="42"/>
        <v>0</v>
      </c>
      <c r="T138" s="77"/>
      <c r="V138" s="27"/>
    </row>
    <row r="139" spans="1:24" s="11" customFormat="1" ht="14" customHeight="1">
      <c r="A139" s="77"/>
      <c r="B139" s="761"/>
      <c r="C139" s="129" t="s">
        <v>8</v>
      </c>
      <c r="D139" s="130" t="s">
        <v>0</v>
      </c>
      <c r="E139" s="471">
        <f>10^6*('Intermediate o&amp;g entries'!H15)</f>
        <v>3806500.7342336099</v>
      </c>
      <c r="F139" s="131">
        <f>10^6*('Intermediate o&amp;g entries'!H15)</f>
        <v>3806500.7342336099</v>
      </c>
      <c r="G139" s="131">
        <f>SUMPRODUCT('Conventional Natural Gas'!C20:C23,'Conventional Natural Gas'!L20:L23)</f>
        <v>15158993.745863827</v>
      </c>
      <c r="H139" s="131">
        <f>SUMPRODUCT('Conventional Natural Gas'!O20:O23,'Conventional Natural Gas'!X20:X23)</f>
        <v>22556710.353193846</v>
      </c>
      <c r="I139" s="131">
        <f>'Conventional Natural Gas'!C27*'Conventional Natural Gas'!L27</f>
        <v>46225941.490637206</v>
      </c>
      <c r="J139" s="131">
        <f>'Conventional Natural Gas'!O26*'Conventional Natural Gas'!X26+'Conventional Natural Gas'!O27*'Conventional Natural Gas'!X27</f>
        <v>47123797.58584661</v>
      </c>
      <c r="K139" s="131">
        <f>conv_ng_pct*'Sankey conversion input'!E77-M139</f>
        <v>248652504.6377002</v>
      </c>
      <c r="L139" s="131">
        <f>conv_ng_pct*'Sankey conversion input'!D77-N139</f>
        <v>4280861150.6069775</v>
      </c>
      <c r="M139" s="131">
        <v>0</v>
      </c>
      <c r="N139" s="131">
        <v>0</v>
      </c>
      <c r="O139" s="131">
        <f>'Conventional Natural Gas'!C35</f>
        <v>-553984112.41544533</v>
      </c>
      <c r="P139" s="131">
        <f>'Conventional Natural Gas'!O35</f>
        <v>-553984112.41544533</v>
      </c>
      <c r="Q139" s="78">
        <f t="shared" si="40"/>
        <v>313843940.60843486</v>
      </c>
      <c r="R139" s="132">
        <f t="shared" si="41"/>
        <v>4354348159.2802515</v>
      </c>
      <c r="S139" s="133">
        <f t="shared" si="42"/>
        <v>-553984112.41544533</v>
      </c>
      <c r="T139" s="77"/>
      <c r="V139" s="27"/>
    </row>
    <row r="140" spans="1:24" s="11" customFormat="1" ht="14" customHeight="1">
      <c r="A140" s="77"/>
      <c r="B140" s="761"/>
      <c r="C140" s="129" t="s">
        <v>8</v>
      </c>
      <c r="D140" s="134" t="s">
        <v>7</v>
      </c>
      <c r="E140" s="471">
        <v>0</v>
      </c>
      <c r="F140" s="131">
        <v>0</v>
      </c>
      <c r="G140" s="131">
        <v>0</v>
      </c>
      <c r="H140" s="131">
        <v>0</v>
      </c>
      <c r="I140" s="131">
        <v>0</v>
      </c>
      <c r="J140" s="131">
        <v>0</v>
      </c>
      <c r="K140" s="131">
        <f>conv_ng_pct*'Sankey conversion input'!E78-M140</f>
        <v>20209622.406298973</v>
      </c>
      <c r="L140" s="131">
        <f>conv_ng_pct*'Sankey conversion input'!D78-N140</f>
        <v>2090980298.0610559</v>
      </c>
      <c r="M140" s="131">
        <v>0</v>
      </c>
      <c r="N140" s="131">
        <v>0</v>
      </c>
      <c r="O140" s="131">
        <v>0</v>
      </c>
      <c r="P140" s="131">
        <v>0</v>
      </c>
      <c r="Q140" s="78">
        <f t="shared" si="40"/>
        <v>20209622.406298973</v>
      </c>
      <c r="R140" s="132">
        <f t="shared" si="41"/>
        <v>2090980298.0610559</v>
      </c>
      <c r="S140" s="133">
        <f t="shared" si="42"/>
        <v>0</v>
      </c>
      <c r="T140" s="77"/>
      <c r="V140" s="27"/>
    </row>
    <row r="141" spans="1:24" s="11" customFormat="1" ht="14" customHeight="1">
      <c r="A141" s="77"/>
      <c r="B141" s="761"/>
      <c r="C141" s="129" t="s">
        <v>8</v>
      </c>
      <c r="D141" s="135" t="s">
        <v>1</v>
      </c>
      <c r="E141" s="471">
        <v>0</v>
      </c>
      <c r="F141" s="131">
        <v>0</v>
      </c>
      <c r="G141" s="131">
        <v>0</v>
      </c>
      <c r="H141" s="131">
        <v>0</v>
      </c>
      <c r="I141" s="131">
        <f>SUM('Conventional Natural Gas'!C28:C29)</f>
        <v>3887.760816485636</v>
      </c>
      <c r="J141" s="131">
        <f>SUM('Conventional Natural Gas'!O28:O29)</f>
        <v>4953.9205504663696</v>
      </c>
      <c r="K141" s="131">
        <f>conv_ng_pct*'Sankey conversion input'!E79-M141</f>
        <v>18227380.425690342</v>
      </c>
      <c r="L141" s="131">
        <f>conv_ng_pct*'Sankey conversion input'!D79-N141</f>
        <v>2451881034.8950734</v>
      </c>
      <c r="M141" s="131">
        <v>0</v>
      </c>
      <c r="N141" s="131">
        <v>0</v>
      </c>
      <c r="O141" s="131">
        <v>0</v>
      </c>
      <c r="P141" s="131">
        <v>0</v>
      </c>
      <c r="Q141" s="78">
        <f t="shared" si="40"/>
        <v>18231268.186506826</v>
      </c>
      <c r="R141" s="132">
        <f t="shared" si="41"/>
        <v>2451885988.8156238</v>
      </c>
      <c r="S141" s="133">
        <f t="shared" si="42"/>
        <v>0</v>
      </c>
      <c r="T141" s="77"/>
      <c r="V141" s="27"/>
    </row>
    <row r="142" spans="1:24" s="11" customFormat="1" ht="14" customHeight="1">
      <c r="A142" s="77"/>
      <c r="B142" s="761"/>
      <c r="C142" s="136" t="s">
        <v>8</v>
      </c>
      <c r="D142" s="137" t="s">
        <v>13</v>
      </c>
      <c r="E142" s="473">
        <v>0</v>
      </c>
      <c r="F142" s="138">
        <v>0</v>
      </c>
      <c r="G142" s="138">
        <v>0</v>
      </c>
      <c r="H142" s="138">
        <v>0</v>
      </c>
      <c r="I142" s="138">
        <v>0</v>
      </c>
      <c r="J142" s="138">
        <v>0</v>
      </c>
      <c r="K142" s="138">
        <f>conv_ng_pct*'Sankey conversion input'!E80-M142</f>
        <v>0</v>
      </c>
      <c r="L142" s="138">
        <f>conv_ng_pct*'Sankey conversion input'!D80-N142</f>
        <v>0</v>
      </c>
      <c r="M142" s="138">
        <v>0</v>
      </c>
      <c r="N142" s="138">
        <v>0</v>
      </c>
      <c r="O142" s="138">
        <v>0</v>
      </c>
      <c r="P142" s="138">
        <v>0</v>
      </c>
      <c r="Q142" s="139">
        <f t="shared" si="40"/>
        <v>0</v>
      </c>
      <c r="R142" s="140">
        <f t="shared" si="41"/>
        <v>0</v>
      </c>
      <c r="S142" s="141">
        <f t="shared" si="42"/>
        <v>0</v>
      </c>
      <c r="T142" s="77"/>
      <c r="V142" s="27"/>
    </row>
    <row r="143" spans="1:24" s="11" customFormat="1" ht="14" customHeight="1">
      <c r="A143" s="77"/>
      <c r="B143" s="761"/>
      <c r="C143" s="150" t="s">
        <v>10</v>
      </c>
      <c r="D143" s="143" t="s">
        <v>0</v>
      </c>
      <c r="E143" s="471">
        <v>0</v>
      </c>
      <c r="F143" s="131">
        <v>0</v>
      </c>
      <c r="G143" s="131">
        <v>0</v>
      </c>
      <c r="H143" s="131">
        <v>0</v>
      </c>
      <c r="I143" s="131">
        <v>0</v>
      </c>
      <c r="J143" s="131">
        <v>0</v>
      </c>
      <c r="K143" s="131">
        <f>conv_ng_pct*'Sankey conversion input'!E85-M143</f>
        <v>55365873.778746106</v>
      </c>
      <c r="L143" s="131">
        <f>conv_ng_pct*'Sankey conversion input'!D85-N143</f>
        <v>81432548.158906445</v>
      </c>
      <c r="M143" s="131">
        <v>0</v>
      </c>
      <c r="N143" s="131">
        <v>0</v>
      </c>
      <c r="O143" s="131">
        <v>0</v>
      </c>
      <c r="P143" s="131">
        <v>0</v>
      </c>
      <c r="Q143" s="78">
        <f t="shared" si="40"/>
        <v>55365873.778746106</v>
      </c>
      <c r="R143" s="132">
        <f t="shared" si="41"/>
        <v>81432548.158906445</v>
      </c>
      <c r="S143" s="133">
        <f t="shared" si="42"/>
        <v>0</v>
      </c>
      <c r="T143" s="77"/>
      <c r="V143" s="27"/>
    </row>
    <row r="144" spans="1:24" s="11" customFormat="1" ht="14" customHeight="1">
      <c r="A144" s="77"/>
      <c r="B144" s="761"/>
      <c r="C144" s="150" t="s">
        <v>10</v>
      </c>
      <c r="D144" s="134" t="s">
        <v>7</v>
      </c>
      <c r="E144" s="471">
        <v>0</v>
      </c>
      <c r="F144" s="131">
        <v>0</v>
      </c>
      <c r="G144" s="131">
        <v>0</v>
      </c>
      <c r="H144" s="131">
        <v>0</v>
      </c>
      <c r="I144" s="131">
        <v>0</v>
      </c>
      <c r="J144" s="131">
        <v>0</v>
      </c>
      <c r="K144" s="131">
        <f>conv_ng_pct*'Sankey conversion input'!E86-M144</f>
        <v>2909903.0090300986</v>
      </c>
      <c r="L144" s="131">
        <f>conv_ng_pct*'Sankey conversion input'!D86-N144</f>
        <v>33544806.646873448</v>
      </c>
      <c r="M144" s="131">
        <v>0</v>
      </c>
      <c r="N144" s="131">
        <v>0</v>
      </c>
      <c r="O144" s="131">
        <v>0</v>
      </c>
      <c r="P144" s="131">
        <v>0</v>
      </c>
      <c r="Q144" s="78">
        <f t="shared" si="40"/>
        <v>2909903.0090300986</v>
      </c>
      <c r="R144" s="132">
        <f t="shared" si="41"/>
        <v>33544806.646873448</v>
      </c>
      <c r="S144" s="133">
        <f t="shared" si="42"/>
        <v>0</v>
      </c>
      <c r="T144" s="77"/>
      <c r="V144" s="27"/>
      <c r="W144" s="27"/>
      <c r="X144" s="27"/>
    </row>
    <row r="145" spans="1:24" s="11" customFormat="1" ht="14" customHeight="1">
      <c r="A145" s="77"/>
      <c r="B145" s="761"/>
      <c r="C145" s="150" t="s">
        <v>10</v>
      </c>
      <c r="D145" s="135" t="s">
        <v>1</v>
      </c>
      <c r="E145" s="471">
        <v>0</v>
      </c>
      <c r="F145" s="131">
        <v>0</v>
      </c>
      <c r="G145" s="131">
        <v>0</v>
      </c>
      <c r="H145" s="151">
        <v>0</v>
      </c>
      <c r="I145" s="131">
        <v>0</v>
      </c>
      <c r="J145" s="131">
        <v>0</v>
      </c>
      <c r="K145" s="131">
        <f>conv_ng_pct*'Sankey conversion input'!E87-M145</f>
        <v>2675755.9818423707</v>
      </c>
      <c r="L145" s="131">
        <f>conv_ng_pct*'Sankey conversion input'!D87-N145</f>
        <v>39059582.173083112</v>
      </c>
      <c r="M145" s="131">
        <v>0</v>
      </c>
      <c r="N145" s="131">
        <v>0</v>
      </c>
      <c r="O145" s="131">
        <v>0</v>
      </c>
      <c r="P145" s="131">
        <v>0</v>
      </c>
      <c r="Q145" s="78">
        <f t="shared" si="40"/>
        <v>2675755.9818423707</v>
      </c>
      <c r="R145" s="132">
        <f t="shared" si="41"/>
        <v>39059582.173083112</v>
      </c>
      <c r="S145" s="133">
        <f t="shared" si="42"/>
        <v>0</v>
      </c>
      <c r="T145" s="77"/>
      <c r="V145" s="27"/>
      <c r="W145" s="27"/>
      <c r="X145" s="27"/>
    </row>
    <row r="146" spans="1:24" s="11" customFormat="1" ht="14" customHeight="1" thickBot="1">
      <c r="A146" s="77"/>
      <c r="B146" s="761"/>
      <c r="C146" s="150" t="s">
        <v>10</v>
      </c>
      <c r="D146" s="166" t="s">
        <v>13</v>
      </c>
      <c r="E146" s="471">
        <f>10^6*('Intermediate o&amp;g entries'!H16)</f>
        <v>1019418.2274122372</v>
      </c>
      <c r="F146" s="131">
        <v>0</v>
      </c>
      <c r="G146" s="131">
        <v>0</v>
      </c>
      <c r="H146" s="131">
        <v>0</v>
      </c>
      <c r="I146" s="131">
        <v>0</v>
      </c>
      <c r="J146" s="131">
        <v>0</v>
      </c>
      <c r="K146" s="131">
        <f>conv_ng_pct*'Sankey conversion input'!E88-M146</f>
        <v>0</v>
      </c>
      <c r="L146" s="131">
        <f>conv_ng_pct*'Sankey conversion input'!D88-N146</f>
        <v>0</v>
      </c>
      <c r="M146" s="131">
        <v>0</v>
      </c>
      <c r="N146" s="131">
        <v>0</v>
      </c>
      <c r="O146" s="131">
        <v>0</v>
      </c>
      <c r="P146" s="131">
        <v>0</v>
      </c>
      <c r="Q146" s="78">
        <f t="shared" si="40"/>
        <v>1019418.2274122372</v>
      </c>
      <c r="R146" s="132">
        <f t="shared" si="41"/>
        <v>0</v>
      </c>
      <c r="S146" s="133">
        <f t="shared" si="42"/>
        <v>0</v>
      </c>
      <c r="T146" s="77"/>
      <c r="V146" s="27"/>
      <c r="W146" s="27"/>
    </row>
    <row r="147" spans="1:24" s="11" customFormat="1" ht="30" customHeight="1" thickBot="1">
      <c r="A147" s="77"/>
      <c r="B147" s="787" t="s">
        <v>26</v>
      </c>
      <c r="C147" s="788"/>
      <c r="D147" s="788"/>
      <c r="E147" s="788"/>
      <c r="F147" s="788"/>
      <c r="G147" s="788"/>
      <c r="H147" s="788"/>
      <c r="I147" s="788"/>
      <c r="J147" s="788"/>
      <c r="K147" s="788"/>
      <c r="L147" s="788"/>
      <c r="M147" s="788"/>
      <c r="N147" s="788"/>
      <c r="O147" s="788"/>
      <c r="P147" s="788"/>
      <c r="Q147" s="788"/>
      <c r="R147" s="788"/>
      <c r="S147" s="789"/>
      <c r="T147" s="77"/>
      <c r="V147" s="27"/>
    </row>
    <row r="148" spans="1:24" s="11" customFormat="1" ht="14" customHeight="1">
      <c r="A148" s="77"/>
      <c r="B148" s="761" t="s">
        <v>32</v>
      </c>
      <c r="C148" s="120"/>
      <c r="D148" s="156"/>
      <c r="E148" s="759" t="s">
        <v>591</v>
      </c>
      <c r="F148" s="760"/>
      <c r="G148" s="756" t="s">
        <v>66</v>
      </c>
      <c r="H148" s="756"/>
      <c r="I148" s="742" t="s">
        <v>67</v>
      </c>
      <c r="J148" s="742"/>
      <c r="K148" s="743" t="s">
        <v>68</v>
      </c>
      <c r="L148" s="743"/>
      <c r="M148" s="744" t="s">
        <v>69</v>
      </c>
      <c r="N148" s="744"/>
      <c r="O148" s="745" t="s">
        <v>413</v>
      </c>
      <c r="P148" s="745"/>
      <c r="Q148" s="121" t="s">
        <v>763</v>
      </c>
      <c r="R148" s="122" t="s">
        <v>763</v>
      </c>
      <c r="S148" s="123" t="s">
        <v>763</v>
      </c>
      <c r="T148" s="77"/>
      <c r="V148" s="27"/>
    </row>
    <row r="149" spans="1:24" s="11" customFormat="1" ht="14" customHeight="1">
      <c r="A149" s="77"/>
      <c r="B149" s="761"/>
      <c r="C149" s="120"/>
      <c r="D149" s="156"/>
      <c r="E149" s="469" t="s">
        <v>209</v>
      </c>
      <c r="F149" s="414" t="s">
        <v>208</v>
      </c>
      <c r="G149" s="414" t="s">
        <v>209</v>
      </c>
      <c r="H149" s="414" t="s">
        <v>208</v>
      </c>
      <c r="I149" s="414" t="s">
        <v>209</v>
      </c>
      <c r="J149" s="414" t="s">
        <v>208</v>
      </c>
      <c r="K149" s="414" t="s">
        <v>209</v>
      </c>
      <c r="L149" s="414" t="s">
        <v>208</v>
      </c>
      <c r="M149" s="414" t="s">
        <v>209</v>
      </c>
      <c r="N149" s="414" t="s">
        <v>208</v>
      </c>
      <c r="O149" s="414" t="s">
        <v>209</v>
      </c>
      <c r="P149" s="414" t="s">
        <v>208</v>
      </c>
      <c r="Q149" s="121" t="s">
        <v>209</v>
      </c>
      <c r="R149" s="468" t="s">
        <v>208</v>
      </c>
      <c r="S149" s="123" t="s">
        <v>413</v>
      </c>
      <c r="T149" s="77"/>
      <c r="V149" s="27"/>
    </row>
    <row r="150" spans="1:24" s="11" customFormat="1" ht="28" customHeight="1">
      <c r="A150" s="77"/>
      <c r="B150" s="761"/>
      <c r="C150" s="124" t="s">
        <v>761</v>
      </c>
      <c r="D150" s="125" t="s">
        <v>762</v>
      </c>
      <c r="E150" s="126">
        <f t="shared" ref="E150:S150" si="43">SUM(E151:E162)</f>
        <v>436601148.41959059</v>
      </c>
      <c r="F150" s="126">
        <f t="shared" si="43"/>
        <v>436601148.41959059</v>
      </c>
      <c r="G150" s="126">
        <f t="shared" si="43"/>
        <v>29179784.184383705</v>
      </c>
      <c r="H150" s="126">
        <f t="shared" si="43"/>
        <v>40749247.611020997</v>
      </c>
      <c r="I150" s="126">
        <f t="shared" si="43"/>
        <v>54770854.85625197</v>
      </c>
      <c r="J150" s="126">
        <f t="shared" si="43"/>
        <v>56190204.255287901</v>
      </c>
      <c r="K150" s="126">
        <f t="shared" si="43"/>
        <v>460317930.42130274</v>
      </c>
      <c r="L150" s="126">
        <f t="shared" si="43"/>
        <v>8674770742.9593258</v>
      </c>
      <c r="M150" s="126">
        <f t="shared" si="43"/>
        <v>0</v>
      </c>
      <c r="N150" s="126">
        <f t="shared" si="43"/>
        <v>0</v>
      </c>
      <c r="O150" s="126">
        <f t="shared" si="43"/>
        <v>-525075592.91754502</v>
      </c>
      <c r="P150" s="126">
        <f t="shared" si="43"/>
        <v>-525075592.91754502</v>
      </c>
      <c r="Q150" s="79">
        <f t="shared" si="43"/>
        <v>980869717.88152897</v>
      </c>
      <c r="R150" s="127">
        <f t="shared" si="43"/>
        <v>9208311343.245224</v>
      </c>
      <c r="S150" s="128">
        <f t="shared" si="43"/>
        <v>-525075592.91754502</v>
      </c>
      <c r="T150" s="77"/>
      <c r="V150" s="27"/>
    </row>
    <row r="151" spans="1:24" s="11" customFormat="1" ht="14" customHeight="1">
      <c r="A151" s="77"/>
      <c r="B151" s="761"/>
      <c r="C151" s="142" t="s">
        <v>9</v>
      </c>
      <c r="D151" s="143" t="s">
        <v>0</v>
      </c>
      <c r="E151" s="470">
        <f>10^6*('Intermediate o&amp;g entries'!E14+'Intermediate o&amp;g entries'!K14+'Intermediate o&amp;g entries'!T38)</f>
        <v>181185002.75636369</v>
      </c>
      <c r="F151" s="131">
        <f>10^6*('Intermediate o&amp;g entries'!E14+'Intermediate o&amp;g entries'!K14+'Intermediate o&amp;g entries'!T38)</f>
        <v>181185002.75636369</v>
      </c>
      <c r="G151" s="131">
        <f>SUMPRODUCT('Unconventional Natural Gas'!C22:C24,'Unconventional Natural Gas'!K22:K24)+'Unconventional Natural Gas'!C21*'Unconventional Natural Gas'!F21</f>
        <v>10374550.640496522</v>
      </c>
      <c r="H151" s="131">
        <f>SUMPRODUCT('Unconventional Natural Gas'!O22:O24,'Unconventional Natural Gas'!W22:W24)+'Unconventional Natural Gas'!O21*'Unconventional Natural Gas'!R21</f>
        <v>14925905.483675823</v>
      </c>
      <c r="I151" s="131">
        <f>'Unconventional Natural Gas'!C28*'Unconventional Natural Gas'!K28</f>
        <v>10953433.994044699</v>
      </c>
      <c r="J151" s="131">
        <f>'Unconventional Natural Gas'!O27*'Unconventional Natural Gas'!W27+'Unconventional Natural Gas'!O28*'Unconventional Natural Gas'!W28</f>
        <v>11520769.543905094</v>
      </c>
      <c r="K151" s="131">
        <f>unconv_ng_pct*'Sankey conversion input'!E81-M151</f>
        <v>129296220.99758068</v>
      </c>
      <c r="L151" s="131">
        <f>unconv_ng_pct*'Sankey conversion input'!D81-N151</f>
        <v>164088442.02781996</v>
      </c>
      <c r="M151" s="131">
        <v>0</v>
      </c>
      <c r="N151" s="131">
        <v>0</v>
      </c>
      <c r="O151" s="131">
        <v>0</v>
      </c>
      <c r="P151" s="131">
        <v>0</v>
      </c>
      <c r="Q151" s="78">
        <f t="shared" ref="Q151:Q162" si="44">SUM(E151,G151,I151,K151,M151)</f>
        <v>331809208.38848555</v>
      </c>
      <c r="R151" s="132">
        <f t="shared" ref="R151:R162" si="45">SUM(F151,H151,J151,L151,N151)</f>
        <v>371720119.8117646</v>
      </c>
      <c r="S151" s="133">
        <f t="shared" ref="S151:S162" si="46">P151</f>
        <v>0</v>
      </c>
      <c r="T151" s="77"/>
    </row>
    <row r="152" spans="1:24" s="11" customFormat="1" ht="14" customHeight="1">
      <c r="A152" s="77"/>
      <c r="B152" s="761"/>
      <c r="C152" s="142" t="s">
        <v>9</v>
      </c>
      <c r="D152" s="134" t="s">
        <v>7</v>
      </c>
      <c r="E152" s="471">
        <f>'Intermediate o&amp;g entries'!T39*10^6</f>
        <v>40905952.425902493</v>
      </c>
      <c r="F152" s="131">
        <f>'Intermediate o&amp;g entries'!T39*10^6</f>
        <v>40905952.425902493</v>
      </c>
      <c r="G152" s="131">
        <f>'Unconventional Natural Gas'!C21*'Unconventional Natural Gas'!G21</f>
        <v>1172240.1364509028</v>
      </c>
      <c r="H152" s="131">
        <f>'Unconventional Natural Gas'!O21*'Unconventional Natural Gas'!S21</f>
        <v>1121610.4721877766</v>
      </c>
      <c r="I152" s="131">
        <v>0</v>
      </c>
      <c r="J152" s="131">
        <v>0</v>
      </c>
      <c r="K152" s="131">
        <f>unconv_ng_pct*'Sankey conversion input'!E82-M152</f>
        <v>349913.9055634797</v>
      </c>
      <c r="L152" s="131">
        <f>unconv_ng_pct*'Sankey conversion input'!D82-N152</f>
        <v>430453.18519755185</v>
      </c>
      <c r="M152" s="131">
        <v>0</v>
      </c>
      <c r="N152" s="131">
        <v>0</v>
      </c>
      <c r="O152" s="131">
        <v>0</v>
      </c>
      <c r="P152" s="131">
        <v>0</v>
      </c>
      <c r="Q152" s="78">
        <f t="shared" si="44"/>
        <v>42428106.467916876</v>
      </c>
      <c r="R152" s="132">
        <f t="shared" si="45"/>
        <v>42458016.083287828</v>
      </c>
      <c r="S152" s="133">
        <f t="shared" si="46"/>
        <v>0</v>
      </c>
      <c r="T152" s="77"/>
      <c r="W152" s="420"/>
    </row>
    <row r="153" spans="1:24" s="11" customFormat="1" ht="14" customHeight="1">
      <c r="A153" s="77"/>
      <c r="B153" s="761"/>
      <c r="C153" s="142" t="s">
        <v>9</v>
      </c>
      <c r="D153" s="135" t="s">
        <v>1</v>
      </c>
      <c r="E153" s="471">
        <f>10^6*('Intermediate o&amp;g entries'!T19+'Intermediate o&amp;g entries'!T40)-E161</f>
        <v>17637608.701226108</v>
      </c>
      <c r="F153" s="131">
        <f>10^6*('Intermediate o&amp;g entries'!T19+'Intermediate o&amp;g entries'!T40)</f>
        <v>27169984.534966525</v>
      </c>
      <c r="G153" s="131">
        <f>'Unconventional Natural Gas'!C21*'Unconventional Natural Gas'!H21</f>
        <v>505440.20135076391</v>
      </c>
      <c r="H153" s="131">
        <f>'Unconventional Natural Gas'!O21*'Unconventional Natural Gas'!T21</f>
        <v>744980.55604009225</v>
      </c>
      <c r="I153" s="131">
        <v>0</v>
      </c>
      <c r="J153" s="131">
        <v>0</v>
      </c>
      <c r="K153" s="131">
        <f>unconv_ng_pct*'Sankey conversion input'!E83-M153</f>
        <v>792559.87277418317</v>
      </c>
      <c r="L153" s="131">
        <f>unconv_ng_pct*'Sankey conversion input'!D83-N153</f>
        <v>978305.11985096079</v>
      </c>
      <c r="M153" s="131">
        <v>0</v>
      </c>
      <c r="N153" s="131">
        <v>0</v>
      </c>
      <c r="O153" s="131">
        <v>0</v>
      </c>
      <c r="P153" s="131">
        <v>0</v>
      </c>
      <c r="Q153" s="78">
        <f t="shared" si="44"/>
        <v>18935608.775351055</v>
      </c>
      <c r="R153" s="132">
        <f t="shared" si="45"/>
        <v>28893270.210857578</v>
      </c>
      <c r="S153" s="133">
        <f t="shared" si="46"/>
        <v>0</v>
      </c>
      <c r="T153" s="77"/>
      <c r="V153" s="420"/>
      <c r="W153" s="420"/>
    </row>
    <row r="154" spans="1:24" s="11" customFormat="1" ht="14" customHeight="1">
      <c r="A154" s="77"/>
      <c r="B154" s="761"/>
      <c r="C154" s="144" t="s">
        <v>9</v>
      </c>
      <c r="D154" s="145" t="s">
        <v>13</v>
      </c>
      <c r="E154" s="472">
        <f>F154</f>
        <v>111776650.05847377</v>
      </c>
      <c r="F154" s="146">
        <f>10^6*('Intermediate o&amp;g entries'!T20+'Intermediate o&amp;g entries'!T41)</f>
        <v>111776650.05847377</v>
      </c>
      <c r="G154" s="146">
        <f>'Unconventional Natural Gas'!C21*'Unconventional Natural Gas'!I21</f>
        <v>3203178.7000661497</v>
      </c>
      <c r="H154" s="146">
        <f>'Unconventional Natural Gas'!O21*'Unconventional Natural Gas'!U21</f>
        <v>3064831.7375997794</v>
      </c>
      <c r="I154" s="146">
        <v>0</v>
      </c>
      <c r="J154" s="146">
        <v>0</v>
      </c>
      <c r="K154" s="146">
        <f>unconv_ng_pct*'Sankey conversion input'!E84-M154</f>
        <v>0</v>
      </c>
      <c r="L154" s="146">
        <f>unconv_ng_pct*'Sankey conversion input'!D84-N154</f>
        <v>0</v>
      </c>
      <c r="M154" s="146">
        <v>0</v>
      </c>
      <c r="N154" s="146">
        <v>0</v>
      </c>
      <c r="O154" s="146">
        <v>0</v>
      </c>
      <c r="P154" s="146">
        <v>0</v>
      </c>
      <c r="Q154" s="147">
        <f t="shared" si="44"/>
        <v>114979828.75853992</v>
      </c>
      <c r="R154" s="148">
        <f t="shared" si="45"/>
        <v>114841481.79607354</v>
      </c>
      <c r="S154" s="149">
        <f t="shared" si="46"/>
        <v>0</v>
      </c>
      <c r="T154" s="77"/>
    </row>
    <row r="155" spans="1:24" s="11" customFormat="1" ht="14" customHeight="1">
      <c r="A155" s="77"/>
      <c r="B155" s="761"/>
      <c r="C155" s="129" t="s">
        <v>8</v>
      </c>
      <c r="D155" s="130" t="s">
        <v>0</v>
      </c>
      <c r="E155" s="471">
        <f>10^6*('Intermediate o&amp;g entries'!E15+'Intermediate o&amp;g entries'!K15)</f>
        <v>75563558.643884107</v>
      </c>
      <c r="F155" s="131">
        <f>10^6*('Intermediate o&amp;g entries'!E15+'Intermediate o&amp;g entries'!K15)</f>
        <v>75563558.643884107</v>
      </c>
      <c r="G155" s="131">
        <f>SUMPRODUCT('Unconventional Natural Gas'!C22:C24,'Unconventional Natural Gas'!L22:L24)</f>
        <v>13924374.506019367</v>
      </c>
      <c r="H155" s="131">
        <f>SUMPRODUCT('Unconventional Natural Gas'!O22:O24,'Unconventional Natural Gas'!X22:X24)</f>
        <v>20891919.361517522</v>
      </c>
      <c r="I155" s="131">
        <f>'Unconventional Natural Gas'!C28*'Unconventional Natural Gas'!L28</f>
        <v>43813735.976178795</v>
      </c>
      <c r="J155" s="131">
        <f>'Unconventional Natural Gas'!O27*'Unconventional Natural Gas'!X27+'Unconventional Natural Gas'!O28*'Unconventional Natural Gas'!X28</f>
        <v>44664739.300969392</v>
      </c>
      <c r="K155" s="131">
        <f>unconv_ng_pct*'Sankey conversion input'!E77-M155</f>
        <v>235677085.99766141</v>
      </c>
      <c r="L155" s="131">
        <f>unconv_ng_pct*'Sankey conversion input'!D77-N155</f>
        <v>4057473231.5914946</v>
      </c>
      <c r="M155" s="131">
        <v>0</v>
      </c>
      <c r="N155" s="131">
        <v>0</v>
      </c>
      <c r="O155" s="131">
        <f>'Unconventional Natural Gas'!C36</f>
        <v>-525075592.91754502</v>
      </c>
      <c r="P155" s="131">
        <f>'Unconventional Natural Gas'!O36</f>
        <v>-525075592.91754502</v>
      </c>
      <c r="Q155" s="78">
        <f t="shared" si="44"/>
        <v>368978755.12374365</v>
      </c>
      <c r="R155" s="132">
        <f t="shared" si="45"/>
        <v>4198593448.8978658</v>
      </c>
      <c r="S155" s="133">
        <f t="shared" si="46"/>
        <v>-525075592.91754502</v>
      </c>
      <c r="T155" s="77"/>
      <c r="V155" s="27"/>
    </row>
    <row r="156" spans="1:24" s="11" customFormat="1" ht="14" customHeight="1">
      <c r="A156" s="77"/>
      <c r="B156" s="761"/>
      <c r="C156" s="129" t="s">
        <v>8</v>
      </c>
      <c r="D156" s="134" t="s">
        <v>7</v>
      </c>
      <c r="E156" s="471">
        <v>0</v>
      </c>
      <c r="F156" s="131">
        <v>0</v>
      </c>
      <c r="G156" s="131">
        <v>0</v>
      </c>
      <c r="H156" s="131">
        <v>0</v>
      </c>
      <c r="I156" s="131">
        <v>0</v>
      </c>
      <c r="J156" s="131">
        <v>0</v>
      </c>
      <c r="K156" s="131">
        <f>unconv_ng_pct*'Sankey conversion input'!E78-M156</f>
        <v>19155024.900189325</v>
      </c>
      <c r="L156" s="131">
        <f>unconv_ng_pct*'Sankey conversion input'!D78-N156</f>
        <v>1981866799.3856771</v>
      </c>
      <c r="M156" s="131">
        <v>0</v>
      </c>
      <c r="N156" s="131">
        <v>0</v>
      </c>
      <c r="O156" s="131">
        <v>0</v>
      </c>
      <c r="P156" s="131">
        <v>0</v>
      </c>
      <c r="Q156" s="78">
        <f t="shared" si="44"/>
        <v>19155024.900189325</v>
      </c>
      <c r="R156" s="132">
        <f t="shared" si="45"/>
        <v>1981866799.3856771</v>
      </c>
      <c r="S156" s="133">
        <f t="shared" si="46"/>
        <v>0</v>
      </c>
      <c r="T156" s="77"/>
      <c r="V156" s="27"/>
    </row>
    <row r="157" spans="1:24" s="11" customFormat="1" ht="14" customHeight="1">
      <c r="A157" s="77"/>
      <c r="B157" s="761"/>
      <c r="C157" s="129" t="s">
        <v>8</v>
      </c>
      <c r="D157" s="135" t="s">
        <v>1</v>
      </c>
      <c r="E157" s="471">
        <v>0</v>
      </c>
      <c r="F157" s="131">
        <v>0</v>
      </c>
      <c r="G157" s="131">
        <v>0</v>
      </c>
      <c r="H157" s="131">
        <v>0</v>
      </c>
      <c r="I157" s="131">
        <f>'Unconventional Natural Gas'!C29</f>
        <v>3684.8860284767975</v>
      </c>
      <c r="J157" s="131">
        <f>'Unconventional Natural Gas'!O29+'Unconventional Natural Gas'!O30</f>
        <v>4695.4104134160689</v>
      </c>
      <c r="K157" s="131">
        <f>unconv_ng_pct*'Sankey conversion input'!E79-M157</f>
        <v>17276222.133200247</v>
      </c>
      <c r="L157" s="131">
        <f>unconv_ng_pct*'Sankey conversion input'!D79-N157</f>
        <v>2323934674.8546224</v>
      </c>
      <c r="M157" s="131">
        <v>0</v>
      </c>
      <c r="N157" s="131">
        <v>0</v>
      </c>
      <c r="O157" s="131">
        <v>0</v>
      </c>
      <c r="P157" s="131">
        <v>0</v>
      </c>
      <c r="Q157" s="78">
        <f t="shared" si="44"/>
        <v>17279907.019228723</v>
      </c>
      <c r="R157" s="132">
        <f t="shared" si="45"/>
        <v>2323939370.2650356</v>
      </c>
      <c r="S157" s="133">
        <f t="shared" si="46"/>
        <v>0</v>
      </c>
      <c r="T157" s="77"/>
      <c r="V157" s="27"/>
    </row>
    <row r="158" spans="1:24" s="11" customFormat="1" ht="14" customHeight="1">
      <c r="A158" s="77"/>
      <c r="B158" s="761"/>
      <c r="C158" s="136" t="s">
        <v>8</v>
      </c>
      <c r="D158" s="137" t="s">
        <v>13</v>
      </c>
      <c r="E158" s="473">
        <v>0</v>
      </c>
      <c r="F158" s="138">
        <v>0</v>
      </c>
      <c r="G158" s="138">
        <v>0</v>
      </c>
      <c r="H158" s="138">
        <v>0</v>
      </c>
      <c r="I158" s="138">
        <v>0</v>
      </c>
      <c r="J158" s="138">
        <v>0</v>
      </c>
      <c r="K158" s="138">
        <f>unconv_ng_pct*'Sankey conversion input'!E80-M158</f>
        <v>0</v>
      </c>
      <c r="L158" s="138">
        <f>unconv_ng_pct*'Sankey conversion input'!D80-N158</f>
        <v>0</v>
      </c>
      <c r="M158" s="138">
        <v>0</v>
      </c>
      <c r="N158" s="138">
        <v>0</v>
      </c>
      <c r="O158" s="138">
        <v>0</v>
      </c>
      <c r="P158" s="138">
        <v>0</v>
      </c>
      <c r="Q158" s="139">
        <f t="shared" si="44"/>
        <v>0</v>
      </c>
      <c r="R158" s="140">
        <f t="shared" si="45"/>
        <v>0</v>
      </c>
      <c r="S158" s="141">
        <f t="shared" si="46"/>
        <v>0</v>
      </c>
      <c r="T158" s="77"/>
    </row>
    <row r="159" spans="1:24" s="11" customFormat="1" ht="14" customHeight="1">
      <c r="A159" s="77"/>
      <c r="B159" s="761"/>
      <c r="C159" s="150" t="s">
        <v>10</v>
      </c>
      <c r="D159" s="143" t="s">
        <v>0</v>
      </c>
      <c r="E159" s="471"/>
      <c r="F159" s="131">
        <v>0</v>
      </c>
      <c r="G159" s="131">
        <v>0</v>
      </c>
      <c r="H159" s="131">
        <v>0</v>
      </c>
      <c r="I159" s="131">
        <v>0</v>
      </c>
      <c r="J159" s="131">
        <v>0</v>
      </c>
      <c r="K159" s="131">
        <f>unconv_ng_pct*'Sankey conversion input'!E85-M159</f>
        <v>52476719.729413219</v>
      </c>
      <c r="L159" s="131">
        <f>unconv_ng_pct*'Sankey conversion input'!D85-N159</f>
        <v>77183158.413862512</v>
      </c>
      <c r="M159" s="131">
        <v>0</v>
      </c>
      <c r="N159" s="131">
        <v>0</v>
      </c>
      <c r="O159" s="131">
        <v>0</v>
      </c>
      <c r="P159" s="131">
        <v>0</v>
      </c>
      <c r="Q159" s="78">
        <f t="shared" si="44"/>
        <v>52476719.729413219</v>
      </c>
      <c r="R159" s="132">
        <f t="shared" si="45"/>
        <v>77183158.413862512</v>
      </c>
      <c r="S159" s="133">
        <f t="shared" si="46"/>
        <v>0</v>
      </c>
      <c r="T159" s="77"/>
    </row>
    <row r="160" spans="1:24" s="11" customFormat="1" ht="14" customHeight="1">
      <c r="A160" s="77"/>
      <c r="B160" s="761"/>
      <c r="C160" s="150" t="s">
        <v>10</v>
      </c>
      <c r="D160" s="134" t="s">
        <v>7</v>
      </c>
      <c r="E160" s="471">
        <v>0</v>
      </c>
      <c r="F160" s="131">
        <v>0</v>
      </c>
      <c r="G160" s="131">
        <v>0</v>
      </c>
      <c r="H160" s="131">
        <v>0</v>
      </c>
      <c r="I160" s="131">
        <v>0</v>
      </c>
      <c r="J160" s="131">
        <v>0</v>
      </c>
      <c r="K160" s="131">
        <f>unconv_ng_pct*'Sankey conversion input'!E86-M160</f>
        <v>2758055.7159610488</v>
      </c>
      <c r="L160" s="131">
        <f>unconv_ng_pct*'Sankey conversion input'!D86-N160</f>
        <v>31794340.026492801</v>
      </c>
      <c r="M160" s="131">
        <v>0</v>
      </c>
      <c r="N160" s="131">
        <v>0</v>
      </c>
      <c r="O160" s="131">
        <v>0</v>
      </c>
      <c r="P160" s="131">
        <v>0</v>
      </c>
      <c r="Q160" s="78">
        <f t="shared" si="44"/>
        <v>2758055.7159610488</v>
      </c>
      <c r="R160" s="132">
        <f t="shared" si="45"/>
        <v>31794340.026492801</v>
      </c>
      <c r="S160" s="133">
        <f t="shared" si="46"/>
        <v>0</v>
      </c>
      <c r="T160" s="77"/>
    </row>
    <row r="161" spans="1:20" s="11" customFormat="1" ht="14" customHeight="1">
      <c r="A161" s="77"/>
      <c r="B161" s="761"/>
      <c r="C161" s="150" t="s">
        <v>10</v>
      </c>
      <c r="D161" s="135" t="s">
        <v>1</v>
      </c>
      <c r="E161" s="471">
        <f>10^6*('Intermediate o&amp;g entries'!E16+'Intermediate o&amp;g entries'!K16)</f>
        <v>9532375.8337404169</v>
      </c>
      <c r="F161" s="131">
        <v>0</v>
      </c>
      <c r="G161" s="131">
        <v>0</v>
      </c>
      <c r="H161" s="151">
        <v>0</v>
      </c>
      <c r="I161" s="131">
        <v>0</v>
      </c>
      <c r="J161" s="131">
        <v>0</v>
      </c>
      <c r="K161" s="131">
        <f>unconv_ng_pct*'Sankey conversion input'!E87-M161</f>
        <v>2536127.1689591855</v>
      </c>
      <c r="L161" s="131">
        <f>unconv_ng_pct*'Sankey conversion input'!D87-N161</f>
        <v>37021338.354307979</v>
      </c>
      <c r="M161" s="131">
        <v>0</v>
      </c>
      <c r="N161" s="131">
        <v>0</v>
      </c>
      <c r="O161" s="131">
        <v>0</v>
      </c>
      <c r="P161" s="131">
        <v>0</v>
      </c>
      <c r="Q161" s="78">
        <f t="shared" si="44"/>
        <v>12068503.002699602</v>
      </c>
      <c r="R161" s="132">
        <f t="shared" si="45"/>
        <v>37021338.354307979</v>
      </c>
      <c r="S161" s="133">
        <f t="shared" si="46"/>
        <v>0</v>
      </c>
      <c r="T161" s="77"/>
    </row>
    <row r="162" spans="1:20" s="11" customFormat="1" ht="14" customHeight="1" thickBot="1">
      <c r="A162" s="77"/>
      <c r="B162" s="761"/>
      <c r="C162" s="150" t="s">
        <v>10</v>
      </c>
      <c r="D162" s="166" t="s">
        <v>13</v>
      </c>
      <c r="E162" s="471">
        <v>0</v>
      </c>
      <c r="F162" s="131">
        <v>0</v>
      </c>
      <c r="G162" s="131">
        <v>0</v>
      </c>
      <c r="H162" s="131">
        <v>0</v>
      </c>
      <c r="I162" s="131">
        <v>0</v>
      </c>
      <c r="J162" s="131">
        <v>0</v>
      </c>
      <c r="K162" s="131">
        <f>unconv_ng_pct*'Sankey conversion input'!E88-M162</f>
        <v>0</v>
      </c>
      <c r="L162" s="131">
        <f>unconv_ng_pct*'Sankey conversion input'!D88-N162</f>
        <v>0</v>
      </c>
      <c r="M162" s="131">
        <v>0</v>
      </c>
      <c r="N162" s="131">
        <v>0</v>
      </c>
      <c r="O162" s="131">
        <v>0</v>
      </c>
      <c r="P162" s="131">
        <v>0</v>
      </c>
      <c r="Q162" s="78">
        <f t="shared" si="44"/>
        <v>0</v>
      </c>
      <c r="R162" s="132">
        <f t="shared" si="45"/>
        <v>0</v>
      </c>
      <c r="S162" s="133">
        <f t="shared" si="46"/>
        <v>0</v>
      </c>
      <c r="T162" s="77"/>
    </row>
    <row r="163" spans="1:20" s="11" customFormat="1" ht="30" customHeight="1" thickBot="1">
      <c r="A163" s="77"/>
      <c r="B163" s="784" t="s">
        <v>28</v>
      </c>
      <c r="C163" s="785"/>
      <c r="D163" s="785"/>
      <c r="E163" s="785"/>
      <c r="F163" s="785"/>
      <c r="G163" s="785"/>
      <c r="H163" s="785"/>
      <c r="I163" s="785"/>
      <c r="J163" s="785"/>
      <c r="K163" s="785"/>
      <c r="L163" s="785"/>
      <c r="M163" s="785"/>
      <c r="N163" s="785"/>
      <c r="O163" s="785"/>
      <c r="P163" s="785"/>
      <c r="Q163" s="785"/>
      <c r="R163" s="785"/>
      <c r="S163" s="786"/>
      <c r="T163" s="77"/>
    </row>
    <row r="164" spans="1:20" s="11" customFormat="1" ht="14" customHeight="1">
      <c r="A164" s="77"/>
      <c r="B164" s="761" t="s">
        <v>32</v>
      </c>
      <c r="C164" s="120"/>
      <c r="D164" s="156"/>
      <c r="E164" s="759" t="s">
        <v>591</v>
      </c>
      <c r="F164" s="760"/>
      <c r="G164" s="756" t="s">
        <v>66</v>
      </c>
      <c r="H164" s="756"/>
      <c r="I164" s="742" t="s">
        <v>67</v>
      </c>
      <c r="J164" s="742"/>
      <c r="K164" s="743" t="s">
        <v>68</v>
      </c>
      <c r="L164" s="743"/>
      <c r="M164" s="744" t="s">
        <v>69</v>
      </c>
      <c r="N164" s="744"/>
      <c r="O164" s="745" t="s">
        <v>413</v>
      </c>
      <c r="P164" s="745"/>
      <c r="Q164" s="121" t="s">
        <v>763</v>
      </c>
      <c r="R164" s="122" t="s">
        <v>763</v>
      </c>
      <c r="S164" s="123" t="s">
        <v>763</v>
      </c>
      <c r="T164" s="77"/>
    </row>
    <row r="165" spans="1:20" s="11" customFormat="1" ht="14" customHeight="1">
      <c r="A165" s="77"/>
      <c r="B165" s="761"/>
      <c r="C165" s="120"/>
      <c r="D165" s="156"/>
      <c r="E165" s="469" t="s">
        <v>209</v>
      </c>
      <c r="F165" s="414" t="s">
        <v>208</v>
      </c>
      <c r="G165" s="414" t="s">
        <v>209</v>
      </c>
      <c r="H165" s="414" t="s">
        <v>208</v>
      </c>
      <c r="I165" s="414" t="s">
        <v>209</v>
      </c>
      <c r="J165" s="414" t="s">
        <v>208</v>
      </c>
      <c r="K165" s="414" t="s">
        <v>209</v>
      </c>
      <c r="L165" s="414" t="s">
        <v>208</v>
      </c>
      <c r="M165" s="414" t="s">
        <v>209</v>
      </c>
      <c r="N165" s="414" t="s">
        <v>208</v>
      </c>
      <c r="O165" s="414" t="s">
        <v>209</v>
      </c>
      <c r="P165" s="414" t="s">
        <v>208</v>
      </c>
      <c r="Q165" s="121" t="s">
        <v>209</v>
      </c>
      <c r="R165" s="468" t="s">
        <v>208</v>
      </c>
      <c r="S165" s="123" t="s">
        <v>413</v>
      </c>
      <c r="T165" s="77"/>
    </row>
    <row r="166" spans="1:20" s="11" customFormat="1" ht="28" customHeight="1">
      <c r="A166" s="77"/>
      <c r="B166" s="761"/>
      <c r="C166" s="124" t="s">
        <v>761</v>
      </c>
      <c r="D166" s="125" t="s">
        <v>762</v>
      </c>
      <c r="E166" s="126">
        <f t="shared" ref="E166:S166" si="47">SUM(E167:E178)</f>
        <v>3852555.2526197676</v>
      </c>
      <c r="F166" s="126">
        <f t="shared" si="47"/>
        <v>3852555.2526197676</v>
      </c>
      <c r="G166" s="126">
        <f t="shared" si="47"/>
        <v>6844656.0728595434</v>
      </c>
      <c r="H166" s="126">
        <f t="shared" si="47"/>
        <v>7687750.1968047144</v>
      </c>
      <c r="I166" s="126">
        <f t="shared" si="47"/>
        <v>0</v>
      </c>
      <c r="J166" s="126">
        <f t="shared" si="47"/>
        <v>0</v>
      </c>
      <c r="K166" s="126">
        <f t="shared" si="47"/>
        <v>1631958102.0485168</v>
      </c>
      <c r="L166" s="126">
        <f t="shared" si="47"/>
        <v>70591287682.851547</v>
      </c>
      <c r="M166" s="126">
        <f t="shared" si="47"/>
        <v>9019152.2268374637</v>
      </c>
      <c r="N166" s="126">
        <f t="shared" si="47"/>
        <v>9019152.2268374637</v>
      </c>
      <c r="O166" s="126">
        <f t="shared" si="47"/>
        <v>0</v>
      </c>
      <c r="P166" s="126">
        <f t="shared" si="47"/>
        <v>0</v>
      </c>
      <c r="Q166" s="79">
        <f t="shared" si="47"/>
        <v>1651674465.6008334</v>
      </c>
      <c r="R166" s="127">
        <f t="shared" si="47"/>
        <v>70611847140.527817</v>
      </c>
      <c r="S166" s="128">
        <f t="shared" si="47"/>
        <v>0</v>
      </c>
      <c r="T166" s="77"/>
    </row>
    <row r="167" spans="1:20" s="11" customFormat="1" ht="14" customHeight="1">
      <c r="A167" s="77"/>
      <c r="B167" s="761"/>
      <c r="C167" s="142" t="s">
        <v>9</v>
      </c>
      <c r="D167" s="143" t="s">
        <v>0</v>
      </c>
      <c r="E167" s="470">
        <v>3852555.2526197676</v>
      </c>
      <c r="F167" s="131">
        <v>3852555.2526197676</v>
      </c>
      <c r="G167" s="131">
        <f>SUMPRODUCT(Uranium!C20:C23,Uranium!K20:K23)</f>
        <v>6175005.4391835621</v>
      </c>
      <c r="H167" s="131">
        <f>SUMPRODUCT(Uranium!O20:O23,Uranium!W20:W23)</f>
        <v>6175005.4391835621</v>
      </c>
      <c r="I167" s="131">
        <v>0</v>
      </c>
      <c r="J167" s="131">
        <v>0</v>
      </c>
      <c r="K167" s="131">
        <f>'Sankey conversion input'!E95</f>
        <v>32330037.404224895</v>
      </c>
      <c r="L167" s="131">
        <f>'Sankey conversion input'!D95</f>
        <v>47932569.345950566</v>
      </c>
      <c r="M167" s="131">
        <v>594.22</v>
      </c>
      <c r="N167" s="131">
        <v>594.22</v>
      </c>
      <c r="O167" s="131">
        <v>0</v>
      </c>
      <c r="P167" s="131">
        <v>0</v>
      </c>
      <c r="Q167" s="78">
        <f t="shared" ref="Q167:Q178" si="48">SUM(E167,G167,I167,K167,M167)</f>
        <v>42358192.316028222</v>
      </c>
      <c r="R167" s="132">
        <f t="shared" ref="R167:R178" si="49">SUM(F167,H167,J167,L167,N167)</f>
        <v>57960724.257753894</v>
      </c>
      <c r="S167" s="133">
        <f t="shared" ref="S167:S178" si="50">P167</f>
        <v>0</v>
      </c>
      <c r="T167" s="77"/>
    </row>
    <row r="168" spans="1:20" s="11" customFormat="1" ht="14" customHeight="1">
      <c r="A168" s="77"/>
      <c r="B168" s="761"/>
      <c r="C168" s="142" t="s">
        <v>9</v>
      </c>
      <c r="D168" s="134" t="s">
        <v>7</v>
      </c>
      <c r="E168" s="471">
        <v>0</v>
      </c>
      <c r="F168" s="131">
        <v>0</v>
      </c>
      <c r="G168" s="131">
        <v>0</v>
      </c>
      <c r="H168" s="131">
        <v>0</v>
      </c>
      <c r="I168" s="131">
        <v>0</v>
      </c>
      <c r="J168" s="131">
        <v>0</v>
      </c>
      <c r="K168" s="131">
        <f>'Sankey conversion input'!E96</f>
        <v>0</v>
      </c>
      <c r="L168" s="131">
        <f>'Sankey conversion input'!D96</f>
        <v>0</v>
      </c>
      <c r="M168" s="131">
        <v>0</v>
      </c>
      <c r="N168" s="131">
        <v>0</v>
      </c>
      <c r="O168" s="131">
        <v>0</v>
      </c>
      <c r="P168" s="131">
        <v>0</v>
      </c>
      <c r="Q168" s="78">
        <f t="shared" si="48"/>
        <v>0</v>
      </c>
      <c r="R168" s="132">
        <f t="shared" si="49"/>
        <v>0</v>
      </c>
      <c r="S168" s="133">
        <f t="shared" si="50"/>
        <v>0</v>
      </c>
      <c r="T168" s="77"/>
    </row>
    <row r="169" spans="1:20" s="11" customFormat="1" ht="14" customHeight="1">
      <c r="A169" s="77"/>
      <c r="B169" s="761"/>
      <c r="C169" s="142" t="s">
        <v>9</v>
      </c>
      <c r="D169" s="135" t="s">
        <v>1</v>
      </c>
      <c r="E169" s="471">
        <v>0</v>
      </c>
      <c r="F169" s="131">
        <v>0</v>
      </c>
      <c r="G169" s="131">
        <v>0</v>
      </c>
      <c r="H169" s="131">
        <v>0</v>
      </c>
      <c r="I169" s="131">
        <v>0</v>
      </c>
      <c r="J169" s="131">
        <v>0</v>
      </c>
      <c r="K169" s="131">
        <f>'Sankey conversion input'!E97</f>
        <v>0</v>
      </c>
      <c r="L169" s="131">
        <f>'Sankey conversion input'!D97</f>
        <v>0</v>
      </c>
      <c r="M169" s="131">
        <v>0</v>
      </c>
      <c r="N169" s="131">
        <v>0</v>
      </c>
      <c r="O169" s="131">
        <v>0</v>
      </c>
      <c r="P169" s="131">
        <v>0</v>
      </c>
      <c r="Q169" s="78">
        <f t="shared" si="48"/>
        <v>0</v>
      </c>
      <c r="R169" s="132">
        <f t="shared" si="49"/>
        <v>0</v>
      </c>
      <c r="S169" s="133">
        <f t="shared" si="50"/>
        <v>0</v>
      </c>
      <c r="T169" s="77"/>
    </row>
    <row r="170" spans="1:20" s="11" customFormat="1" ht="14" customHeight="1">
      <c r="A170" s="77"/>
      <c r="B170" s="761"/>
      <c r="C170" s="144" t="s">
        <v>9</v>
      </c>
      <c r="D170" s="145" t="s">
        <v>13</v>
      </c>
      <c r="E170" s="472">
        <v>0</v>
      </c>
      <c r="F170" s="146">
        <v>0</v>
      </c>
      <c r="G170" s="146">
        <v>0</v>
      </c>
      <c r="H170" s="146">
        <v>0</v>
      </c>
      <c r="I170" s="146">
        <v>0</v>
      </c>
      <c r="J170" s="146">
        <v>0</v>
      </c>
      <c r="K170" s="146">
        <f>'Sankey conversion input'!E98</f>
        <v>0</v>
      </c>
      <c r="L170" s="146">
        <f>'Sankey conversion input'!D98</f>
        <v>0</v>
      </c>
      <c r="M170" s="146">
        <v>0</v>
      </c>
      <c r="N170" s="146">
        <v>0</v>
      </c>
      <c r="O170" s="146">
        <v>0</v>
      </c>
      <c r="P170" s="146">
        <v>0</v>
      </c>
      <c r="Q170" s="147">
        <f t="shared" si="48"/>
        <v>0</v>
      </c>
      <c r="R170" s="148">
        <f t="shared" si="49"/>
        <v>0</v>
      </c>
      <c r="S170" s="149">
        <f t="shared" si="50"/>
        <v>0</v>
      </c>
      <c r="T170" s="77"/>
    </row>
    <row r="171" spans="1:20" s="11" customFormat="1" ht="14" customHeight="1">
      <c r="A171" s="77"/>
      <c r="B171" s="761"/>
      <c r="C171" s="129" t="s">
        <v>8</v>
      </c>
      <c r="D171" s="130" t="s">
        <v>0</v>
      </c>
      <c r="E171" s="471">
        <v>0</v>
      </c>
      <c r="F171" s="131">
        <v>0</v>
      </c>
      <c r="G171" s="131">
        <f>SUMPRODUCT(Uranium!C20:C23,Uranium!L20:L23)</f>
        <v>669650.63367598155</v>
      </c>
      <c r="H171" s="131">
        <f>SUMPRODUCT(Uranium!O20:O23,Uranium!X20:X23)</f>
        <v>1512744.7576211521</v>
      </c>
      <c r="I171" s="131">
        <v>0</v>
      </c>
      <c r="J171" s="131">
        <v>0</v>
      </c>
      <c r="K171" s="131">
        <f>'Sankey conversion input'!E91</f>
        <v>1265487227.8093066</v>
      </c>
      <c r="L171" s="131">
        <f>'Sankey conversion input'!D91</f>
        <v>50837428804.422722</v>
      </c>
      <c r="M171" s="131">
        <v>9018558.006837463</v>
      </c>
      <c r="N171" s="131">
        <v>9018558.006837463</v>
      </c>
      <c r="O171" s="131">
        <v>0</v>
      </c>
      <c r="P171" s="131">
        <v>0</v>
      </c>
      <c r="Q171" s="78">
        <f t="shared" si="48"/>
        <v>1275175436.44982</v>
      </c>
      <c r="R171" s="132">
        <f t="shared" si="49"/>
        <v>50847960107.18718</v>
      </c>
      <c r="S171" s="133">
        <f t="shared" si="50"/>
        <v>0</v>
      </c>
      <c r="T171" s="77"/>
    </row>
    <row r="172" spans="1:20" s="11" customFormat="1" ht="14" customHeight="1">
      <c r="A172" s="77"/>
      <c r="B172" s="761"/>
      <c r="C172" s="129" t="s">
        <v>8</v>
      </c>
      <c r="D172" s="134" t="s">
        <v>7</v>
      </c>
      <c r="E172" s="471">
        <v>0</v>
      </c>
      <c r="F172" s="131">
        <v>0</v>
      </c>
      <c r="G172" s="131">
        <v>0</v>
      </c>
      <c r="H172" s="131">
        <v>0</v>
      </c>
      <c r="I172" s="131">
        <v>0</v>
      </c>
      <c r="J172" s="131">
        <v>0</v>
      </c>
      <c r="K172" s="131">
        <f>'Sankey conversion input'!E92</f>
        <v>95946335.244906411</v>
      </c>
      <c r="L172" s="131">
        <f>'Sankey conversion input'!D92</f>
        <v>6649841490.8994093</v>
      </c>
      <c r="M172" s="131">
        <v>0</v>
      </c>
      <c r="N172" s="131">
        <v>0</v>
      </c>
      <c r="O172" s="131">
        <v>0</v>
      </c>
      <c r="P172" s="131">
        <v>0</v>
      </c>
      <c r="Q172" s="78">
        <f t="shared" si="48"/>
        <v>95946335.244906411</v>
      </c>
      <c r="R172" s="132">
        <f t="shared" si="49"/>
        <v>6649841490.8994093</v>
      </c>
      <c r="S172" s="133">
        <f t="shared" si="50"/>
        <v>0</v>
      </c>
      <c r="T172" s="77"/>
    </row>
    <row r="173" spans="1:20" s="11" customFormat="1" ht="14" customHeight="1">
      <c r="A173" s="77"/>
      <c r="B173" s="761"/>
      <c r="C173" s="129" t="s">
        <v>8</v>
      </c>
      <c r="D173" s="135" t="s">
        <v>1</v>
      </c>
      <c r="E173" s="471">
        <v>0</v>
      </c>
      <c r="F173" s="131">
        <v>0</v>
      </c>
      <c r="G173" s="131">
        <v>0</v>
      </c>
      <c r="H173" s="131">
        <v>0</v>
      </c>
      <c r="I173" s="131">
        <v>0</v>
      </c>
      <c r="J173" s="131">
        <v>0</v>
      </c>
      <c r="K173" s="131">
        <f>'Sankey conversion input'!E93</f>
        <v>116560451.91156007</v>
      </c>
      <c r="L173" s="131">
        <f>'Sankey conversion input'!D93</f>
        <v>12168622046.057131</v>
      </c>
      <c r="M173" s="131">
        <v>0</v>
      </c>
      <c r="N173" s="131">
        <v>0</v>
      </c>
      <c r="O173" s="131">
        <v>0</v>
      </c>
      <c r="P173" s="131">
        <v>0</v>
      </c>
      <c r="Q173" s="78">
        <f t="shared" si="48"/>
        <v>116560451.91156007</v>
      </c>
      <c r="R173" s="132">
        <f t="shared" si="49"/>
        <v>12168622046.057131</v>
      </c>
      <c r="S173" s="133">
        <f t="shared" si="50"/>
        <v>0</v>
      </c>
      <c r="T173" s="77"/>
    </row>
    <row r="174" spans="1:20" s="11" customFormat="1" ht="14" customHeight="1">
      <c r="A174" s="77"/>
      <c r="B174" s="761"/>
      <c r="C174" s="136" t="s">
        <v>8</v>
      </c>
      <c r="D174" s="137" t="s">
        <v>13</v>
      </c>
      <c r="E174" s="473">
        <v>0</v>
      </c>
      <c r="F174" s="138">
        <v>0</v>
      </c>
      <c r="G174" s="138">
        <v>0</v>
      </c>
      <c r="H174" s="138">
        <v>0</v>
      </c>
      <c r="I174" s="138">
        <v>0</v>
      </c>
      <c r="J174" s="138">
        <v>0</v>
      </c>
      <c r="K174" s="138">
        <f>'Sankey conversion input'!E94</f>
        <v>0</v>
      </c>
      <c r="L174" s="138">
        <f>'Sankey conversion input'!D94</f>
        <v>0</v>
      </c>
      <c r="M174" s="138">
        <v>0</v>
      </c>
      <c r="N174" s="138">
        <v>0</v>
      </c>
      <c r="O174" s="138">
        <v>0</v>
      </c>
      <c r="P174" s="138">
        <v>0</v>
      </c>
      <c r="Q174" s="139">
        <f t="shared" si="48"/>
        <v>0</v>
      </c>
      <c r="R174" s="140">
        <f t="shared" si="49"/>
        <v>0</v>
      </c>
      <c r="S174" s="141">
        <f t="shared" si="50"/>
        <v>0</v>
      </c>
      <c r="T174" s="77"/>
    </row>
    <row r="175" spans="1:20" s="11" customFormat="1" ht="14" customHeight="1">
      <c r="A175" s="77"/>
      <c r="B175" s="761"/>
      <c r="C175" s="150" t="s">
        <v>10</v>
      </c>
      <c r="D175" s="143" t="s">
        <v>0</v>
      </c>
      <c r="E175" s="471">
        <v>0</v>
      </c>
      <c r="F175" s="131">
        <v>0</v>
      </c>
      <c r="G175" s="131">
        <v>0</v>
      </c>
      <c r="H175" s="131">
        <v>0</v>
      </c>
      <c r="I175" s="131">
        <v>0</v>
      </c>
      <c r="J175" s="131">
        <v>0</v>
      </c>
      <c r="K175" s="131">
        <f>'Sankey conversion input'!E99</f>
        <v>104519801.20617837</v>
      </c>
      <c r="L175" s="131">
        <f>'Sankey conversion input'!D99</f>
        <v>647867802.42338204</v>
      </c>
      <c r="M175" s="131">
        <v>0</v>
      </c>
      <c r="N175" s="131">
        <v>0</v>
      </c>
      <c r="O175" s="131">
        <v>0</v>
      </c>
      <c r="P175" s="131">
        <v>0</v>
      </c>
      <c r="Q175" s="78">
        <f t="shared" si="48"/>
        <v>104519801.20617837</v>
      </c>
      <c r="R175" s="132">
        <f t="shared" si="49"/>
        <v>647867802.42338204</v>
      </c>
      <c r="S175" s="133">
        <f t="shared" si="50"/>
        <v>0</v>
      </c>
      <c r="T175" s="77"/>
    </row>
    <row r="176" spans="1:20" s="11" customFormat="1" ht="14" customHeight="1">
      <c r="A176" s="77"/>
      <c r="B176" s="761"/>
      <c r="C176" s="150" t="s">
        <v>10</v>
      </c>
      <c r="D176" s="134" t="s">
        <v>7</v>
      </c>
      <c r="E176" s="471">
        <v>0</v>
      </c>
      <c r="F176" s="131">
        <v>0</v>
      </c>
      <c r="G176" s="131">
        <v>0</v>
      </c>
      <c r="H176" s="131">
        <v>0</v>
      </c>
      <c r="I176" s="131">
        <v>0</v>
      </c>
      <c r="J176" s="131">
        <v>0</v>
      </c>
      <c r="K176" s="131">
        <f>'Sankey conversion input'!E100</f>
        <v>7727044.5963815982</v>
      </c>
      <c r="L176" s="131">
        <f>'Sankey conversion input'!D100</f>
        <v>84665178.292193621</v>
      </c>
      <c r="M176" s="131">
        <v>0</v>
      </c>
      <c r="N176" s="131">
        <v>0</v>
      </c>
      <c r="O176" s="131">
        <v>0</v>
      </c>
      <c r="P176" s="131">
        <v>0</v>
      </c>
      <c r="Q176" s="78">
        <f t="shared" si="48"/>
        <v>7727044.5963815982</v>
      </c>
      <c r="R176" s="132">
        <f t="shared" si="49"/>
        <v>84665178.292193621</v>
      </c>
      <c r="S176" s="133">
        <f t="shared" si="50"/>
        <v>0</v>
      </c>
      <c r="T176" s="77"/>
    </row>
    <row r="177" spans="1:20" s="11" customFormat="1" ht="14" customHeight="1">
      <c r="A177" s="77"/>
      <c r="B177" s="761"/>
      <c r="C177" s="150" t="s">
        <v>10</v>
      </c>
      <c r="D177" s="135" t="s">
        <v>1</v>
      </c>
      <c r="E177" s="471">
        <v>0</v>
      </c>
      <c r="F177" s="131">
        <v>0</v>
      </c>
      <c r="G177" s="131">
        <v>0</v>
      </c>
      <c r="H177" s="151">
        <v>0</v>
      </c>
      <c r="I177" s="131">
        <v>0</v>
      </c>
      <c r="J177" s="131">
        <v>0</v>
      </c>
      <c r="K177" s="131">
        <f>'Sankey conversion input'!E101</f>
        <v>9387203.8759586923</v>
      </c>
      <c r="L177" s="131">
        <f>'Sankey conversion input'!D101</f>
        <v>154929791.41077235</v>
      </c>
      <c r="M177" s="131">
        <v>0</v>
      </c>
      <c r="N177" s="131">
        <v>0</v>
      </c>
      <c r="O177" s="131">
        <v>0</v>
      </c>
      <c r="P177" s="131">
        <v>0</v>
      </c>
      <c r="Q177" s="78">
        <f t="shared" si="48"/>
        <v>9387203.8759586923</v>
      </c>
      <c r="R177" s="132">
        <f t="shared" si="49"/>
        <v>154929791.41077235</v>
      </c>
      <c r="S177" s="133">
        <f t="shared" si="50"/>
        <v>0</v>
      </c>
      <c r="T177" s="77"/>
    </row>
    <row r="178" spans="1:20" s="11" customFormat="1" ht="14" customHeight="1" thickBot="1">
      <c r="A178" s="77"/>
      <c r="B178" s="761"/>
      <c r="C178" s="150" t="s">
        <v>10</v>
      </c>
      <c r="D178" s="166" t="s">
        <v>13</v>
      </c>
      <c r="E178" s="471">
        <v>0</v>
      </c>
      <c r="F178" s="131">
        <v>0</v>
      </c>
      <c r="G178" s="131">
        <v>0</v>
      </c>
      <c r="H178" s="131">
        <v>0</v>
      </c>
      <c r="I178" s="131">
        <v>0</v>
      </c>
      <c r="J178" s="131">
        <v>0</v>
      </c>
      <c r="K178" s="131">
        <f>'Sankey conversion input'!E102</f>
        <v>0</v>
      </c>
      <c r="L178" s="131">
        <f>'Sankey conversion input'!D102</f>
        <v>0</v>
      </c>
      <c r="M178" s="131">
        <v>0</v>
      </c>
      <c r="N178" s="131">
        <v>0</v>
      </c>
      <c r="O178" s="131">
        <v>0</v>
      </c>
      <c r="P178" s="131">
        <v>0</v>
      </c>
      <c r="Q178" s="78">
        <f t="shared" si="48"/>
        <v>0</v>
      </c>
      <c r="R178" s="132">
        <f t="shared" si="49"/>
        <v>0</v>
      </c>
      <c r="S178" s="133">
        <f t="shared" si="50"/>
        <v>0</v>
      </c>
      <c r="T178" s="77"/>
    </row>
    <row r="179" spans="1:20" s="11" customFormat="1" ht="30" customHeight="1" thickBot="1">
      <c r="A179" s="77"/>
      <c r="B179" s="781" t="s">
        <v>29</v>
      </c>
      <c r="C179" s="782"/>
      <c r="D179" s="782"/>
      <c r="E179" s="782"/>
      <c r="F179" s="782"/>
      <c r="G179" s="782"/>
      <c r="H179" s="782"/>
      <c r="I179" s="782"/>
      <c r="J179" s="782"/>
      <c r="K179" s="782"/>
      <c r="L179" s="782"/>
      <c r="M179" s="782"/>
      <c r="N179" s="782"/>
      <c r="O179" s="782"/>
      <c r="P179" s="782"/>
      <c r="Q179" s="782"/>
      <c r="R179" s="782"/>
      <c r="S179" s="783"/>
      <c r="T179" s="77"/>
    </row>
    <row r="180" spans="1:20" s="11" customFormat="1" ht="14" customHeight="1">
      <c r="A180" s="77"/>
      <c r="B180" s="761" t="s">
        <v>32</v>
      </c>
      <c r="C180" s="120"/>
      <c r="D180" s="156"/>
      <c r="E180" s="759" t="s">
        <v>591</v>
      </c>
      <c r="F180" s="760"/>
      <c r="G180" s="756" t="s">
        <v>66</v>
      </c>
      <c r="H180" s="756"/>
      <c r="I180" s="742" t="s">
        <v>67</v>
      </c>
      <c r="J180" s="742"/>
      <c r="K180" s="743" t="s">
        <v>68</v>
      </c>
      <c r="L180" s="743"/>
      <c r="M180" s="744" t="s">
        <v>69</v>
      </c>
      <c r="N180" s="744"/>
      <c r="O180" s="745" t="s">
        <v>413</v>
      </c>
      <c r="P180" s="745"/>
      <c r="Q180" s="121" t="s">
        <v>763</v>
      </c>
      <c r="R180" s="122" t="s">
        <v>763</v>
      </c>
      <c r="S180" s="123" t="s">
        <v>763</v>
      </c>
      <c r="T180" s="77"/>
    </row>
    <row r="181" spans="1:20" s="11" customFormat="1" ht="14" customHeight="1">
      <c r="A181" s="77"/>
      <c r="B181" s="761"/>
      <c r="C181" s="120"/>
      <c r="D181" s="156"/>
      <c r="E181" s="469" t="s">
        <v>209</v>
      </c>
      <c r="F181" s="414" t="s">
        <v>208</v>
      </c>
      <c r="G181" s="414" t="s">
        <v>209</v>
      </c>
      <c r="H181" s="414" t="s">
        <v>208</v>
      </c>
      <c r="I181" s="414" t="s">
        <v>209</v>
      </c>
      <c r="J181" s="414" t="s">
        <v>208</v>
      </c>
      <c r="K181" s="414" t="s">
        <v>209</v>
      </c>
      <c r="L181" s="414" t="s">
        <v>208</v>
      </c>
      <c r="M181" s="414" t="s">
        <v>209</v>
      </c>
      <c r="N181" s="414" t="s">
        <v>208</v>
      </c>
      <c r="O181" s="414" t="s">
        <v>209</v>
      </c>
      <c r="P181" s="414" t="s">
        <v>208</v>
      </c>
      <c r="Q181" s="121" t="s">
        <v>209</v>
      </c>
      <c r="R181" s="468" t="s">
        <v>208</v>
      </c>
      <c r="S181" s="123" t="s">
        <v>413</v>
      </c>
      <c r="T181" s="77"/>
    </row>
    <row r="182" spans="1:20" s="11" customFormat="1" ht="28" customHeight="1">
      <c r="A182" s="77"/>
      <c r="B182" s="761"/>
      <c r="C182" s="124" t="s">
        <v>761</v>
      </c>
      <c r="D182" s="125" t="s">
        <v>762</v>
      </c>
      <c r="E182" s="126">
        <f t="shared" ref="E182:S182" si="51">SUM(E183:E194)</f>
        <v>2346976960</v>
      </c>
      <c r="F182" s="126">
        <f t="shared" si="51"/>
        <v>2346976960</v>
      </c>
      <c r="G182" s="126">
        <f t="shared" si="51"/>
        <v>0</v>
      </c>
      <c r="H182" s="126">
        <f t="shared" si="51"/>
        <v>0</v>
      </c>
      <c r="I182" s="126">
        <f t="shared" si="51"/>
        <v>0</v>
      </c>
      <c r="J182" s="126">
        <f t="shared" si="51"/>
        <v>0</v>
      </c>
      <c r="K182" s="126">
        <f t="shared" si="51"/>
        <v>0</v>
      </c>
      <c r="L182" s="126">
        <f t="shared" si="51"/>
        <v>20000000000000</v>
      </c>
      <c r="M182" s="126">
        <f t="shared" si="51"/>
        <v>0</v>
      </c>
      <c r="N182" s="126">
        <f t="shared" si="51"/>
        <v>0</v>
      </c>
      <c r="O182" s="126">
        <f t="shared" si="51"/>
        <v>0</v>
      </c>
      <c r="P182" s="126">
        <f t="shared" si="51"/>
        <v>0</v>
      </c>
      <c r="Q182" s="79">
        <f t="shared" si="51"/>
        <v>2346976960</v>
      </c>
      <c r="R182" s="127">
        <f t="shared" si="51"/>
        <v>20002346976960</v>
      </c>
      <c r="S182" s="128">
        <f t="shared" si="51"/>
        <v>0</v>
      </c>
      <c r="T182" s="77"/>
    </row>
    <row r="183" spans="1:20" s="11" customFormat="1" ht="14" customHeight="1">
      <c r="A183" s="77"/>
      <c r="B183" s="761"/>
      <c r="C183" s="142" t="s">
        <v>9</v>
      </c>
      <c r="D183" s="143" t="s">
        <v>0</v>
      </c>
      <c r="E183" s="470">
        <v>0</v>
      </c>
      <c r="F183" s="131">
        <v>0</v>
      </c>
      <c r="G183" s="131">
        <v>0</v>
      </c>
      <c r="H183" s="131">
        <v>0</v>
      </c>
      <c r="I183" s="131">
        <v>0</v>
      </c>
      <c r="J183" s="131">
        <v>0</v>
      </c>
      <c r="K183" s="131">
        <v>0</v>
      </c>
      <c r="L183" s="131">
        <v>0</v>
      </c>
      <c r="M183" s="131">
        <v>0</v>
      </c>
      <c r="N183" s="131">
        <v>0</v>
      </c>
      <c r="O183" s="131">
        <v>0</v>
      </c>
      <c r="P183" s="131">
        <v>0</v>
      </c>
      <c r="Q183" s="78">
        <f t="shared" ref="Q183:Q194" si="52">SUM(E183,G183,I183,K183,M183)</f>
        <v>0</v>
      </c>
      <c r="R183" s="132">
        <f t="shared" ref="R183:R194" si="53">SUM(F183,H183,J183,L183,N183)</f>
        <v>0</v>
      </c>
      <c r="S183" s="133">
        <f t="shared" ref="S183:S194" si="54">P183</f>
        <v>0</v>
      </c>
      <c r="T183" s="77"/>
    </row>
    <row r="184" spans="1:20" s="11" customFormat="1" ht="14" customHeight="1">
      <c r="A184" s="77"/>
      <c r="B184" s="761"/>
      <c r="C184" s="142" t="s">
        <v>9</v>
      </c>
      <c r="D184" s="134" t="s">
        <v>7</v>
      </c>
      <c r="E184" s="471">
        <v>0</v>
      </c>
      <c r="F184" s="131">
        <v>0</v>
      </c>
      <c r="G184" s="131">
        <v>0</v>
      </c>
      <c r="H184" s="131">
        <v>0</v>
      </c>
      <c r="I184" s="131">
        <v>0</v>
      </c>
      <c r="J184" s="131">
        <v>0</v>
      </c>
      <c r="K184" s="131">
        <v>0</v>
      </c>
      <c r="L184" s="131">
        <v>0</v>
      </c>
      <c r="M184" s="131">
        <v>0</v>
      </c>
      <c r="N184" s="131">
        <v>0</v>
      </c>
      <c r="O184" s="131">
        <v>0</v>
      </c>
      <c r="P184" s="131">
        <v>0</v>
      </c>
      <c r="Q184" s="78">
        <f t="shared" si="52"/>
        <v>0</v>
      </c>
      <c r="R184" s="132">
        <f t="shared" si="53"/>
        <v>0</v>
      </c>
      <c r="S184" s="133">
        <f t="shared" si="54"/>
        <v>0</v>
      </c>
      <c r="T184" s="77"/>
    </row>
    <row r="185" spans="1:20" s="11" customFormat="1" ht="14" customHeight="1">
      <c r="A185" s="77"/>
      <c r="B185" s="761"/>
      <c r="C185" s="142" t="s">
        <v>9</v>
      </c>
      <c r="D185" s="135" t="s">
        <v>1</v>
      </c>
      <c r="E185" s="471">
        <v>0</v>
      </c>
      <c r="F185" s="131">
        <v>0</v>
      </c>
      <c r="G185" s="131">
        <v>0</v>
      </c>
      <c r="H185" s="131">
        <v>0</v>
      </c>
      <c r="I185" s="131">
        <v>0</v>
      </c>
      <c r="J185" s="131">
        <v>0</v>
      </c>
      <c r="K185" s="131">
        <v>0</v>
      </c>
      <c r="L185" s="131">
        <v>0</v>
      </c>
      <c r="M185" s="131">
        <v>0</v>
      </c>
      <c r="N185" s="131">
        <v>0</v>
      </c>
      <c r="O185" s="131">
        <v>0</v>
      </c>
      <c r="P185" s="131">
        <v>0</v>
      </c>
      <c r="Q185" s="78">
        <f t="shared" si="52"/>
        <v>0</v>
      </c>
      <c r="R185" s="132">
        <f t="shared" si="53"/>
        <v>0</v>
      </c>
      <c r="S185" s="133">
        <f t="shared" si="54"/>
        <v>0</v>
      </c>
      <c r="T185" s="77"/>
    </row>
    <row r="186" spans="1:20" s="11" customFormat="1" ht="14" customHeight="1">
      <c r="A186" s="77"/>
      <c r="B186" s="761"/>
      <c r="C186" s="144" t="s">
        <v>9</v>
      </c>
      <c r="D186" s="145" t="s">
        <v>13</v>
      </c>
      <c r="E186" s="472">
        <v>0</v>
      </c>
      <c r="F186" s="146">
        <v>0</v>
      </c>
      <c r="G186" s="146">
        <v>0</v>
      </c>
      <c r="H186" s="146">
        <v>0</v>
      </c>
      <c r="I186" s="146">
        <v>0</v>
      </c>
      <c r="J186" s="146">
        <v>0</v>
      </c>
      <c r="K186" s="146">
        <v>0</v>
      </c>
      <c r="L186" s="146">
        <v>0</v>
      </c>
      <c r="M186" s="146">
        <v>0</v>
      </c>
      <c r="N186" s="146">
        <v>0</v>
      </c>
      <c r="O186" s="146">
        <v>0</v>
      </c>
      <c r="P186" s="146">
        <v>0</v>
      </c>
      <c r="Q186" s="147">
        <f t="shared" si="52"/>
        <v>0</v>
      </c>
      <c r="R186" s="148">
        <f t="shared" si="53"/>
        <v>0</v>
      </c>
      <c r="S186" s="149">
        <f t="shared" si="54"/>
        <v>0</v>
      </c>
      <c r="T186" s="77"/>
    </row>
    <row r="187" spans="1:20" s="11" customFormat="1" ht="14" customHeight="1">
      <c r="A187" s="77"/>
      <c r="B187" s="761"/>
      <c r="C187" s="129" t="s">
        <v>8</v>
      </c>
      <c r="D187" s="130" t="s">
        <v>0</v>
      </c>
      <c r="E187" s="471">
        <f>SUM(Hydropower!C15:C16)</f>
        <v>2346976960</v>
      </c>
      <c r="F187" s="131">
        <f>SUM(Hydropower!O15:O16)</f>
        <v>2346976960</v>
      </c>
      <c r="G187" s="131">
        <v>0</v>
      </c>
      <c r="H187" s="131">
        <v>0</v>
      </c>
      <c r="I187" s="131">
        <v>0</v>
      </c>
      <c r="J187" s="131">
        <v>0</v>
      </c>
      <c r="K187" s="131">
        <v>0</v>
      </c>
      <c r="L187" s="131">
        <f>Hydropower!O19</f>
        <v>20000000000000</v>
      </c>
      <c r="M187" s="131">
        <v>0</v>
      </c>
      <c r="N187" s="131">
        <v>0</v>
      </c>
      <c r="O187" s="131">
        <v>0</v>
      </c>
      <c r="P187" s="131">
        <v>0</v>
      </c>
      <c r="Q187" s="78">
        <f t="shared" si="52"/>
        <v>2346976960</v>
      </c>
      <c r="R187" s="132">
        <f t="shared" si="53"/>
        <v>20002346976960</v>
      </c>
      <c r="S187" s="133">
        <f t="shared" si="54"/>
        <v>0</v>
      </c>
      <c r="T187" s="77"/>
    </row>
    <row r="188" spans="1:20" s="11" customFormat="1" ht="14" customHeight="1">
      <c r="A188" s="77"/>
      <c r="B188" s="761"/>
      <c r="C188" s="129" t="s">
        <v>8</v>
      </c>
      <c r="D188" s="134" t="s">
        <v>7</v>
      </c>
      <c r="E188" s="471">
        <v>0</v>
      </c>
      <c r="F188" s="131">
        <v>0</v>
      </c>
      <c r="G188" s="131">
        <v>0</v>
      </c>
      <c r="H188" s="131">
        <v>0</v>
      </c>
      <c r="I188" s="131">
        <v>0</v>
      </c>
      <c r="J188" s="131">
        <v>0</v>
      </c>
      <c r="K188" s="131">
        <v>0</v>
      </c>
      <c r="L188" s="131">
        <v>0</v>
      </c>
      <c r="M188" s="131">
        <v>0</v>
      </c>
      <c r="N188" s="131">
        <v>0</v>
      </c>
      <c r="O188" s="131">
        <v>0</v>
      </c>
      <c r="P188" s="131">
        <v>0</v>
      </c>
      <c r="Q188" s="78">
        <f t="shared" si="52"/>
        <v>0</v>
      </c>
      <c r="R188" s="132">
        <f t="shared" si="53"/>
        <v>0</v>
      </c>
      <c r="S188" s="133">
        <f t="shared" si="54"/>
        <v>0</v>
      </c>
      <c r="T188" s="77"/>
    </row>
    <row r="189" spans="1:20" s="11" customFormat="1" ht="14" customHeight="1">
      <c r="A189" s="77"/>
      <c r="B189" s="761"/>
      <c r="C189" s="129" t="s">
        <v>8</v>
      </c>
      <c r="D189" s="135" t="s">
        <v>1</v>
      </c>
      <c r="E189" s="471">
        <v>0</v>
      </c>
      <c r="F189" s="131">
        <v>0</v>
      </c>
      <c r="G189" s="131">
        <v>0</v>
      </c>
      <c r="H189" s="131">
        <v>0</v>
      </c>
      <c r="I189" s="131">
        <v>0</v>
      </c>
      <c r="J189" s="131">
        <v>0</v>
      </c>
      <c r="K189" s="131">
        <v>0</v>
      </c>
      <c r="L189" s="131">
        <v>0</v>
      </c>
      <c r="M189" s="131">
        <v>0</v>
      </c>
      <c r="N189" s="131">
        <v>0</v>
      </c>
      <c r="O189" s="131">
        <v>0</v>
      </c>
      <c r="P189" s="131">
        <v>0</v>
      </c>
      <c r="Q189" s="78">
        <f t="shared" si="52"/>
        <v>0</v>
      </c>
      <c r="R189" s="132">
        <f t="shared" si="53"/>
        <v>0</v>
      </c>
      <c r="S189" s="133">
        <f t="shared" si="54"/>
        <v>0</v>
      </c>
      <c r="T189" s="77"/>
    </row>
    <row r="190" spans="1:20" s="11" customFormat="1" ht="14" customHeight="1">
      <c r="A190" s="77"/>
      <c r="B190" s="761"/>
      <c r="C190" s="136" t="s">
        <v>8</v>
      </c>
      <c r="D190" s="137" t="s">
        <v>13</v>
      </c>
      <c r="E190" s="473">
        <v>0</v>
      </c>
      <c r="F190" s="138">
        <v>0</v>
      </c>
      <c r="G190" s="138">
        <v>0</v>
      </c>
      <c r="H190" s="138">
        <v>0</v>
      </c>
      <c r="I190" s="138">
        <v>0</v>
      </c>
      <c r="J190" s="138">
        <v>0</v>
      </c>
      <c r="K190" s="138">
        <v>0</v>
      </c>
      <c r="L190" s="138">
        <v>0</v>
      </c>
      <c r="M190" s="138">
        <v>0</v>
      </c>
      <c r="N190" s="138">
        <v>0</v>
      </c>
      <c r="O190" s="138">
        <v>0</v>
      </c>
      <c r="P190" s="138">
        <v>0</v>
      </c>
      <c r="Q190" s="139">
        <f t="shared" si="52"/>
        <v>0</v>
      </c>
      <c r="R190" s="140">
        <f t="shared" si="53"/>
        <v>0</v>
      </c>
      <c r="S190" s="141">
        <f t="shared" si="54"/>
        <v>0</v>
      </c>
      <c r="T190" s="77"/>
    </row>
    <row r="191" spans="1:20" s="11" customFormat="1" ht="14" customHeight="1">
      <c r="A191" s="77"/>
      <c r="B191" s="761"/>
      <c r="C191" s="150" t="s">
        <v>10</v>
      </c>
      <c r="D191" s="143" t="s">
        <v>0</v>
      </c>
      <c r="E191" s="471">
        <v>0</v>
      </c>
      <c r="F191" s="131">
        <v>0</v>
      </c>
      <c r="G191" s="131">
        <v>0</v>
      </c>
      <c r="H191" s="131">
        <v>0</v>
      </c>
      <c r="I191" s="131">
        <v>0</v>
      </c>
      <c r="J191" s="131">
        <v>0</v>
      </c>
      <c r="K191" s="131">
        <v>0</v>
      </c>
      <c r="L191" s="131">
        <v>0</v>
      </c>
      <c r="M191" s="131">
        <v>0</v>
      </c>
      <c r="N191" s="131">
        <v>0</v>
      </c>
      <c r="O191" s="131">
        <v>0</v>
      </c>
      <c r="P191" s="131">
        <v>0</v>
      </c>
      <c r="Q191" s="78">
        <f t="shared" si="52"/>
        <v>0</v>
      </c>
      <c r="R191" s="132">
        <f t="shared" si="53"/>
        <v>0</v>
      </c>
      <c r="S191" s="133">
        <f t="shared" si="54"/>
        <v>0</v>
      </c>
      <c r="T191" s="77"/>
    </row>
    <row r="192" spans="1:20" s="11" customFormat="1" ht="14" customHeight="1">
      <c r="A192" s="77"/>
      <c r="B192" s="761"/>
      <c r="C192" s="150" t="s">
        <v>10</v>
      </c>
      <c r="D192" s="134" t="s">
        <v>7</v>
      </c>
      <c r="E192" s="471">
        <v>0</v>
      </c>
      <c r="F192" s="131">
        <v>0</v>
      </c>
      <c r="G192" s="131">
        <v>0</v>
      </c>
      <c r="H192" s="131">
        <v>0</v>
      </c>
      <c r="I192" s="131">
        <v>0</v>
      </c>
      <c r="J192" s="131">
        <v>0</v>
      </c>
      <c r="K192" s="131">
        <v>0</v>
      </c>
      <c r="L192" s="131">
        <v>0</v>
      </c>
      <c r="M192" s="131">
        <v>0</v>
      </c>
      <c r="N192" s="131">
        <v>0</v>
      </c>
      <c r="O192" s="131">
        <v>0</v>
      </c>
      <c r="P192" s="131">
        <v>0</v>
      </c>
      <c r="Q192" s="78">
        <f t="shared" si="52"/>
        <v>0</v>
      </c>
      <c r="R192" s="132">
        <f t="shared" si="53"/>
        <v>0</v>
      </c>
      <c r="S192" s="133">
        <f t="shared" si="54"/>
        <v>0</v>
      </c>
      <c r="T192" s="77"/>
    </row>
    <row r="193" spans="1:20" s="11" customFormat="1" ht="14" customHeight="1">
      <c r="A193" s="77"/>
      <c r="B193" s="761"/>
      <c r="C193" s="150" t="s">
        <v>10</v>
      </c>
      <c r="D193" s="135" t="s">
        <v>1</v>
      </c>
      <c r="E193" s="471">
        <v>0</v>
      </c>
      <c r="F193" s="131">
        <v>0</v>
      </c>
      <c r="G193" s="131">
        <v>0</v>
      </c>
      <c r="H193" s="151">
        <v>0</v>
      </c>
      <c r="I193" s="131">
        <v>0</v>
      </c>
      <c r="J193" s="131">
        <v>0</v>
      </c>
      <c r="K193" s="131">
        <v>0</v>
      </c>
      <c r="L193" s="131">
        <v>0</v>
      </c>
      <c r="M193" s="131">
        <v>0</v>
      </c>
      <c r="N193" s="131">
        <v>0</v>
      </c>
      <c r="O193" s="131">
        <v>0</v>
      </c>
      <c r="P193" s="131">
        <v>0</v>
      </c>
      <c r="Q193" s="78">
        <f t="shared" si="52"/>
        <v>0</v>
      </c>
      <c r="R193" s="132">
        <f t="shared" si="53"/>
        <v>0</v>
      </c>
      <c r="S193" s="133">
        <f t="shared" si="54"/>
        <v>0</v>
      </c>
      <c r="T193" s="77"/>
    </row>
    <row r="194" spans="1:20" s="11" customFormat="1" ht="14" customHeight="1" thickBot="1">
      <c r="A194" s="77"/>
      <c r="B194" s="761"/>
      <c r="C194" s="150" t="s">
        <v>10</v>
      </c>
      <c r="D194" s="166" t="s">
        <v>13</v>
      </c>
      <c r="E194" s="471">
        <v>0</v>
      </c>
      <c r="F194" s="131">
        <v>0</v>
      </c>
      <c r="G194" s="131">
        <v>0</v>
      </c>
      <c r="H194" s="131">
        <v>0</v>
      </c>
      <c r="I194" s="131">
        <v>0</v>
      </c>
      <c r="J194" s="131">
        <v>0</v>
      </c>
      <c r="K194" s="131">
        <v>0</v>
      </c>
      <c r="L194" s="131">
        <v>0</v>
      </c>
      <c r="M194" s="131">
        <v>0</v>
      </c>
      <c r="N194" s="131">
        <v>0</v>
      </c>
      <c r="O194" s="131">
        <v>0</v>
      </c>
      <c r="P194" s="131">
        <v>0</v>
      </c>
      <c r="Q194" s="78">
        <f t="shared" si="52"/>
        <v>0</v>
      </c>
      <c r="R194" s="132">
        <f t="shared" si="53"/>
        <v>0</v>
      </c>
      <c r="S194" s="133">
        <f t="shared" si="54"/>
        <v>0</v>
      </c>
      <c r="T194" s="77"/>
    </row>
    <row r="195" spans="1:20" s="75" customFormat="1" ht="30" customHeight="1" thickBot="1">
      <c r="A195" s="115"/>
      <c r="B195" s="768" t="s">
        <v>5</v>
      </c>
      <c r="C195" s="769"/>
      <c r="D195" s="769"/>
      <c r="E195" s="769"/>
      <c r="F195" s="769"/>
      <c r="G195" s="769"/>
      <c r="H195" s="769"/>
      <c r="I195" s="769"/>
      <c r="J195" s="769"/>
      <c r="K195" s="769"/>
      <c r="L195" s="769"/>
      <c r="M195" s="769"/>
      <c r="N195" s="769"/>
      <c r="O195" s="769"/>
      <c r="P195" s="769"/>
      <c r="Q195" s="769"/>
      <c r="R195" s="769"/>
      <c r="S195" s="770"/>
      <c r="T195" s="115"/>
    </row>
    <row r="196" spans="1:20" s="11" customFormat="1" ht="14" customHeight="1">
      <c r="A196" s="77"/>
      <c r="B196" s="761" t="s">
        <v>32</v>
      </c>
      <c r="C196" s="120"/>
      <c r="D196" s="156"/>
      <c r="E196" s="759" t="s">
        <v>591</v>
      </c>
      <c r="F196" s="760"/>
      <c r="G196" s="756" t="s">
        <v>66</v>
      </c>
      <c r="H196" s="756"/>
      <c r="I196" s="742" t="s">
        <v>67</v>
      </c>
      <c r="J196" s="742"/>
      <c r="K196" s="743" t="s">
        <v>68</v>
      </c>
      <c r="L196" s="743"/>
      <c r="M196" s="744" t="s">
        <v>69</v>
      </c>
      <c r="N196" s="744"/>
      <c r="O196" s="745" t="s">
        <v>413</v>
      </c>
      <c r="P196" s="745"/>
      <c r="Q196" s="121" t="s">
        <v>763</v>
      </c>
      <c r="R196" s="122" t="s">
        <v>763</v>
      </c>
      <c r="S196" s="123" t="s">
        <v>763</v>
      </c>
      <c r="T196" s="77"/>
    </row>
    <row r="197" spans="1:20" s="11" customFormat="1" ht="14" customHeight="1">
      <c r="A197" s="77"/>
      <c r="B197" s="761"/>
      <c r="C197" s="120"/>
      <c r="D197" s="156"/>
      <c r="E197" s="469" t="s">
        <v>209</v>
      </c>
      <c r="F197" s="414" t="s">
        <v>208</v>
      </c>
      <c r="G197" s="414" t="s">
        <v>209</v>
      </c>
      <c r="H197" s="414" t="s">
        <v>208</v>
      </c>
      <c r="I197" s="414" t="s">
        <v>209</v>
      </c>
      <c r="J197" s="414" t="s">
        <v>208</v>
      </c>
      <c r="K197" s="414" t="s">
        <v>209</v>
      </c>
      <c r="L197" s="414" t="s">
        <v>208</v>
      </c>
      <c r="M197" s="414" t="s">
        <v>209</v>
      </c>
      <c r="N197" s="414" t="s">
        <v>208</v>
      </c>
      <c r="O197" s="414" t="s">
        <v>209</v>
      </c>
      <c r="P197" s="414" t="s">
        <v>208</v>
      </c>
      <c r="Q197" s="121" t="s">
        <v>209</v>
      </c>
      <c r="R197" s="468" t="s">
        <v>208</v>
      </c>
      <c r="S197" s="123" t="s">
        <v>413</v>
      </c>
      <c r="T197" s="77"/>
    </row>
    <row r="198" spans="1:20" s="11" customFormat="1" ht="28" customHeight="1">
      <c r="A198" s="77"/>
      <c r="B198" s="761"/>
      <c r="C198" s="124" t="s">
        <v>761</v>
      </c>
      <c r="D198" s="125" t="s">
        <v>762</v>
      </c>
      <c r="E198" s="126">
        <f t="shared" ref="E198:S198" si="55">SUM(E199:E210)</f>
        <v>1961874</v>
      </c>
      <c r="F198" s="126">
        <f t="shared" si="55"/>
        <v>19618740</v>
      </c>
      <c r="G198" s="126">
        <f t="shared" si="55"/>
        <v>0</v>
      </c>
      <c r="H198" s="126">
        <f t="shared" si="55"/>
        <v>0</v>
      </c>
      <c r="I198" s="126">
        <f t="shared" si="55"/>
        <v>0</v>
      </c>
      <c r="J198" s="126">
        <f t="shared" si="55"/>
        <v>0</v>
      </c>
      <c r="K198" s="126">
        <f t="shared" si="55"/>
        <v>0</v>
      </c>
      <c r="L198" s="126">
        <f t="shared" si="55"/>
        <v>0</v>
      </c>
      <c r="M198" s="126">
        <f t="shared" si="55"/>
        <v>0</v>
      </c>
      <c r="N198" s="126">
        <f t="shared" si="55"/>
        <v>0</v>
      </c>
      <c r="O198" s="126">
        <f t="shared" si="55"/>
        <v>0</v>
      </c>
      <c r="P198" s="126">
        <f t="shared" si="55"/>
        <v>0</v>
      </c>
      <c r="Q198" s="79">
        <f t="shared" si="55"/>
        <v>1961874</v>
      </c>
      <c r="R198" s="127">
        <f t="shared" si="55"/>
        <v>19618740</v>
      </c>
      <c r="S198" s="128">
        <f t="shared" si="55"/>
        <v>0</v>
      </c>
      <c r="T198" s="77"/>
    </row>
    <row r="199" spans="1:20" s="11" customFormat="1" ht="14" customHeight="1">
      <c r="A199" s="77"/>
      <c r="B199" s="761"/>
      <c r="C199" s="142" t="s">
        <v>9</v>
      </c>
      <c r="D199" s="143" t="s">
        <v>0</v>
      </c>
      <c r="E199" s="470">
        <f>Wind!C15*Wind!K15</f>
        <v>784749.60000000009</v>
      </c>
      <c r="F199" s="131">
        <f>Wind!O15*Wind!W15</f>
        <v>7847496</v>
      </c>
      <c r="G199" s="131">
        <v>0</v>
      </c>
      <c r="H199" s="131">
        <v>0</v>
      </c>
      <c r="I199" s="131">
        <v>0</v>
      </c>
      <c r="J199" s="131">
        <v>0</v>
      </c>
      <c r="K199" s="131">
        <v>0</v>
      </c>
      <c r="L199" s="131">
        <v>0</v>
      </c>
      <c r="M199" s="131">
        <v>0</v>
      </c>
      <c r="N199" s="131">
        <v>0</v>
      </c>
      <c r="O199" s="131">
        <v>0</v>
      </c>
      <c r="P199" s="131">
        <v>0</v>
      </c>
      <c r="Q199" s="78">
        <f t="shared" ref="Q199:Q210" si="56">SUM(E199,G199,I199,K199,M199)</f>
        <v>784749.60000000009</v>
      </c>
      <c r="R199" s="132">
        <f t="shared" ref="R199:R210" si="57">SUM(F199,H199,J199,L199,N199)</f>
        <v>7847496</v>
      </c>
      <c r="S199" s="133">
        <f t="shared" ref="S199:S210" si="58">P199</f>
        <v>0</v>
      </c>
      <c r="T199" s="77"/>
    </row>
    <row r="200" spans="1:20" s="11" customFormat="1" ht="14" customHeight="1">
      <c r="A200" s="77"/>
      <c r="B200" s="761"/>
      <c r="C200" s="142" t="s">
        <v>9</v>
      </c>
      <c r="D200" s="134" t="s">
        <v>7</v>
      </c>
      <c r="E200" s="471">
        <v>0</v>
      </c>
      <c r="F200" s="131">
        <v>0</v>
      </c>
      <c r="G200" s="131">
        <v>0</v>
      </c>
      <c r="H200" s="131">
        <v>0</v>
      </c>
      <c r="I200" s="131">
        <v>0</v>
      </c>
      <c r="J200" s="131">
        <v>0</v>
      </c>
      <c r="K200" s="131">
        <v>0</v>
      </c>
      <c r="L200" s="131">
        <v>0</v>
      </c>
      <c r="M200" s="131">
        <v>0</v>
      </c>
      <c r="N200" s="131">
        <v>0</v>
      </c>
      <c r="O200" s="131">
        <v>0</v>
      </c>
      <c r="P200" s="131">
        <v>0</v>
      </c>
      <c r="Q200" s="78">
        <f t="shared" si="56"/>
        <v>0</v>
      </c>
      <c r="R200" s="132">
        <f t="shared" si="57"/>
        <v>0</v>
      </c>
      <c r="S200" s="133">
        <f t="shared" si="58"/>
        <v>0</v>
      </c>
      <c r="T200" s="77"/>
    </row>
    <row r="201" spans="1:20" s="11" customFormat="1" ht="14" customHeight="1">
      <c r="A201" s="77"/>
      <c r="B201" s="761"/>
      <c r="C201" s="142" t="s">
        <v>9</v>
      </c>
      <c r="D201" s="135" t="s">
        <v>1</v>
      </c>
      <c r="E201" s="471">
        <v>0</v>
      </c>
      <c r="F201" s="131">
        <v>0</v>
      </c>
      <c r="G201" s="131">
        <v>0</v>
      </c>
      <c r="H201" s="131">
        <v>0</v>
      </c>
      <c r="I201" s="131">
        <v>0</v>
      </c>
      <c r="J201" s="131">
        <v>0</v>
      </c>
      <c r="K201" s="131">
        <v>0</v>
      </c>
      <c r="L201" s="131">
        <v>0</v>
      </c>
      <c r="M201" s="131">
        <v>0</v>
      </c>
      <c r="N201" s="131">
        <v>0</v>
      </c>
      <c r="O201" s="131">
        <v>0</v>
      </c>
      <c r="P201" s="131">
        <v>0</v>
      </c>
      <c r="Q201" s="78">
        <f t="shared" si="56"/>
        <v>0</v>
      </c>
      <c r="R201" s="132">
        <f t="shared" si="57"/>
        <v>0</v>
      </c>
      <c r="S201" s="133">
        <f t="shared" si="58"/>
        <v>0</v>
      </c>
      <c r="T201" s="77"/>
    </row>
    <row r="202" spans="1:20" s="11" customFormat="1" ht="14" customHeight="1">
      <c r="A202" s="77"/>
      <c r="B202" s="761"/>
      <c r="C202" s="144" t="s">
        <v>9</v>
      </c>
      <c r="D202" s="145" t="s">
        <v>13</v>
      </c>
      <c r="E202" s="472">
        <v>0</v>
      </c>
      <c r="F202" s="146">
        <v>0</v>
      </c>
      <c r="G202" s="146">
        <v>0</v>
      </c>
      <c r="H202" s="146">
        <v>0</v>
      </c>
      <c r="I202" s="146">
        <v>0</v>
      </c>
      <c r="J202" s="146">
        <v>0</v>
      </c>
      <c r="K202" s="146">
        <v>0</v>
      </c>
      <c r="L202" s="146">
        <v>0</v>
      </c>
      <c r="M202" s="146">
        <v>0</v>
      </c>
      <c r="N202" s="146">
        <v>0</v>
      </c>
      <c r="O202" s="146">
        <v>0</v>
      </c>
      <c r="P202" s="146">
        <v>0</v>
      </c>
      <c r="Q202" s="147">
        <f t="shared" si="56"/>
        <v>0</v>
      </c>
      <c r="R202" s="148">
        <f t="shared" si="57"/>
        <v>0</v>
      </c>
      <c r="S202" s="149">
        <f t="shared" si="58"/>
        <v>0</v>
      </c>
      <c r="T202" s="77"/>
    </row>
    <row r="203" spans="1:20" s="11" customFormat="1" ht="14" customHeight="1">
      <c r="A203" s="77"/>
      <c r="B203" s="761"/>
      <c r="C203" s="129" t="s">
        <v>8</v>
      </c>
      <c r="D203" s="130" t="s">
        <v>0</v>
      </c>
      <c r="E203" s="471">
        <f>Wind!C15*Wind!L15</f>
        <v>1177124.3999999999</v>
      </c>
      <c r="F203" s="131">
        <f>Wind!O15*Wind!X15</f>
        <v>11771244</v>
      </c>
      <c r="G203" s="131">
        <v>0</v>
      </c>
      <c r="H203" s="131">
        <v>0</v>
      </c>
      <c r="I203" s="131">
        <v>0</v>
      </c>
      <c r="J203" s="131">
        <v>0</v>
      </c>
      <c r="K203" s="131">
        <v>0</v>
      </c>
      <c r="L203" s="131">
        <v>0</v>
      </c>
      <c r="M203" s="131">
        <v>0</v>
      </c>
      <c r="N203" s="131">
        <v>0</v>
      </c>
      <c r="O203" s="131">
        <v>0</v>
      </c>
      <c r="P203" s="131">
        <v>0</v>
      </c>
      <c r="Q203" s="78">
        <f t="shared" si="56"/>
        <v>1177124.3999999999</v>
      </c>
      <c r="R203" s="132">
        <f t="shared" si="57"/>
        <v>11771244</v>
      </c>
      <c r="S203" s="133">
        <f t="shared" si="58"/>
        <v>0</v>
      </c>
      <c r="T203" s="77"/>
    </row>
    <row r="204" spans="1:20" s="11" customFormat="1" ht="14" customHeight="1">
      <c r="A204" s="77"/>
      <c r="B204" s="761"/>
      <c r="C204" s="129" t="s">
        <v>8</v>
      </c>
      <c r="D204" s="134" t="s">
        <v>7</v>
      </c>
      <c r="E204" s="471">
        <v>0</v>
      </c>
      <c r="F204" s="131">
        <v>0</v>
      </c>
      <c r="G204" s="131">
        <v>0</v>
      </c>
      <c r="H204" s="131">
        <v>0</v>
      </c>
      <c r="I204" s="131">
        <v>0</v>
      </c>
      <c r="J204" s="131">
        <v>0</v>
      </c>
      <c r="K204" s="131">
        <v>0</v>
      </c>
      <c r="L204" s="131">
        <v>0</v>
      </c>
      <c r="M204" s="131">
        <v>0</v>
      </c>
      <c r="N204" s="131">
        <v>0</v>
      </c>
      <c r="O204" s="131">
        <v>0</v>
      </c>
      <c r="P204" s="131">
        <v>0</v>
      </c>
      <c r="Q204" s="78">
        <f t="shared" si="56"/>
        <v>0</v>
      </c>
      <c r="R204" s="132">
        <f t="shared" si="57"/>
        <v>0</v>
      </c>
      <c r="S204" s="133">
        <f t="shared" si="58"/>
        <v>0</v>
      </c>
      <c r="T204" s="77"/>
    </row>
    <row r="205" spans="1:20" s="11" customFormat="1" ht="14" customHeight="1">
      <c r="A205" s="77"/>
      <c r="B205" s="761"/>
      <c r="C205" s="129" t="s">
        <v>8</v>
      </c>
      <c r="D205" s="135" t="s">
        <v>1</v>
      </c>
      <c r="E205" s="471">
        <v>0</v>
      </c>
      <c r="F205" s="131">
        <v>0</v>
      </c>
      <c r="G205" s="131">
        <v>0</v>
      </c>
      <c r="H205" s="131">
        <v>0</v>
      </c>
      <c r="I205" s="131">
        <v>0</v>
      </c>
      <c r="J205" s="131">
        <v>0</v>
      </c>
      <c r="K205" s="131">
        <v>0</v>
      </c>
      <c r="L205" s="131">
        <v>0</v>
      </c>
      <c r="M205" s="131">
        <v>0</v>
      </c>
      <c r="N205" s="131">
        <v>0</v>
      </c>
      <c r="O205" s="131">
        <v>0</v>
      </c>
      <c r="P205" s="131">
        <v>0</v>
      </c>
      <c r="Q205" s="78">
        <f t="shared" si="56"/>
        <v>0</v>
      </c>
      <c r="R205" s="132">
        <f t="shared" si="57"/>
        <v>0</v>
      </c>
      <c r="S205" s="133">
        <f t="shared" si="58"/>
        <v>0</v>
      </c>
      <c r="T205" s="77"/>
    </row>
    <row r="206" spans="1:20" s="11" customFormat="1" ht="14" customHeight="1">
      <c r="A206" s="77"/>
      <c r="B206" s="761"/>
      <c r="C206" s="136" t="s">
        <v>8</v>
      </c>
      <c r="D206" s="137" t="s">
        <v>13</v>
      </c>
      <c r="E206" s="473">
        <v>0</v>
      </c>
      <c r="F206" s="138">
        <v>0</v>
      </c>
      <c r="G206" s="138">
        <v>0</v>
      </c>
      <c r="H206" s="138">
        <v>0</v>
      </c>
      <c r="I206" s="138">
        <v>0</v>
      </c>
      <c r="J206" s="138">
        <v>0</v>
      </c>
      <c r="K206" s="138">
        <v>0</v>
      </c>
      <c r="L206" s="138">
        <v>0</v>
      </c>
      <c r="M206" s="138">
        <v>0</v>
      </c>
      <c r="N206" s="138">
        <v>0</v>
      </c>
      <c r="O206" s="138">
        <v>0</v>
      </c>
      <c r="P206" s="138">
        <v>0</v>
      </c>
      <c r="Q206" s="139">
        <f t="shared" si="56"/>
        <v>0</v>
      </c>
      <c r="R206" s="140">
        <f t="shared" si="57"/>
        <v>0</v>
      </c>
      <c r="S206" s="141">
        <f t="shared" si="58"/>
        <v>0</v>
      </c>
      <c r="T206" s="77"/>
    </row>
    <row r="207" spans="1:20" s="11" customFormat="1" ht="14" customHeight="1">
      <c r="A207" s="77"/>
      <c r="B207" s="761"/>
      <c r="C207" s="150" t="s">
        <v>10</v>
      </c>
      <c r="D207" s="143" t="s">
        <v>0</v>
      </c>
      <c r="E207" s="471">
        <v>0</v>
      </c>
      <c r="F207" s="131">
        <v>0</v>
      </c>
      <c r="G207" s="131">
        <v>0</v>
      </c>
      <c r="H207" s="131">
        <v>0</v>
      </c>
      <c r="I207" s="131">
        <v>0</v>
      </c>
      <c r="J207" s="131">
        <v>0</v>
      </c>
      <c r="K207" s="131">
        <v>0</v>
      </c>
      <c r="L207" s="131">
        <v>0</v>
      </c>
      <c r="M207" s="131">
        <v>0</v>
      </c>
      <c r="N207" s="131">
        <v>0</v>
      </c>
      <c r="O207" s="131">
        <v>0</v>
      </c>
      <c r="P207" s="131">
        <v>0</v>
      </c>
      <c r="Q207" s="78">
        <f t="shared" si="56"/>
        <v>0</v>
      </c>
      <c r="R207" s="132">
        <f t="shared" si="57"/>
        <v>0</v>
      </c>
      <c r="S207" s="133">
        <f t="shared" si="58"/>
        <v>0</v>
      </c>
      <c r="T207" s="77"/>
    </row>
    <row r="208" spans="1:20" s="11" customFormat="1" ht="14" customHeight="1">
      <c r="A208" s="77"/>
      <c r="B208" s="761"/>
      <c r="C208" s="150" t="s">
        <v>10</v>
      </c>
      <c r="D208" s="134" t="s">
        <v>7</v>
      </c>
      <c r="E208" s="471">
        <v>0</v>
      </c>
      <c r="F208" s="131">
        <v>0</v>
      </c>
      <c r="G208" s="131">
        <v>0</v>
      </c>
      <c r="H208" s="131">
        <v>0</v>
      </c>
      <c r="I208" s="131">
        <v>0</v>
      </c>
      <c r="J208" s="131">
        <v>0</v>
      </c>
      <c r="K208" s="131">
        <v>0</v>
      </c>
      <c r="L208" s="131">
        <v>0</v>
      </c>
      <c r="M208" s="131">
        <v>0</v>
      </c>
      <c r="N208" s="131">
        <v>0</v>
      </c>
      <c r="O208" s="131">
        <v>0</v>
      </c>
      <c r="P208" s="131">
        <v>0</v>
      </c>
      <c r="Q208" s="78">
        <f t="shared" si="56"/>
        <v>0</v>
      </c>
      <c r="R208" s="132">
        <f t="shared" si="57"/>
        <v>0</v>
      </c>
      <c r="S208" s="133">
        <f t="shared" si="58"/>
        <v>0</v>
      </c>
      <c r="T208" s="77"/>
    </row>
    <row r="209" spans="1:20" s="11" customFormat="1" ht="14" customHeight="1">
      <c r="A209" s="77"/>
      <c r="B209" s="761"/>
      <c r="C209" s="150" t="s">
        <v>10</v>
      </c>
      <c r="D209" s="135" t="s">
        <v>1</v>
      </c>
      <c r="E209" s="471">
        <v>0</v>
      </c>
      <c r="F209" s="131">
        <v>0</v>
      </c>
      <c r="G209" s="131">
        <v>0</v>
      </c>
      <c r="H209" s="151">
        <v>0</v>
      </c>
      <c r="I209" s="131">
        <v>0</v>
      </c>
      <c r="J209" s="131">
        <v>0</v>
      </c>
      <c r="K209" s="131">
        <v>0</v>
      </c>
      <c r="L209" s="131">
        <v>0</v>
      </c>
      <c r="M209" s="131">
        <v>0</v>
      </c>
      <c r="N209" s="131">
        <v>0</v>
      </c>
      <c r="O209" s="131">
        <v>0</v>
      </c>
      <c r="P209" s="131">
        <v>0</v>
      </c>
      <c r="Q209" s="78">
        <f t="shared" si="56"/>
        <v>0</v>
      </c>
      <c r="R209" s="132">
        <f t="shared" si="57"/>
        <v>0</v>
      </c>
      <c r="S209" s="133">
        <f t="shared" si="58"/>
        <v>0</v>
      </c>
      <c r="T209" s="77"/>
    </row>
    <row r="210" spans="1:20" s="11" customFormat="1" ht="14" customHeight="1" thickBot="1">
      <c r="A210" s="77"/>
      <c r="B210" s="761"/>
      <c r="C210" s="150" t="s">
        <v>10</v>
      </c>
      <c r="D210" s="166" t="s">
        <v>13</v>
      </c>
      <c r="E210" s="471">
        <v>0</v>
      </c>
      <c r="F210" s="131">
        <v>0</v>
      </c>
      <c r="G210" s="131">
        <v>0</v>
      </c>
      <c r="H210" s="131">
        <v>0</v>
      </c>
      <c r="I210" s="131">
        <v>0</v>
      </c>
      <c r="J210" s="131">
        <v>0</v>
      </c>
      <c r="K210" s="131">
        <v>0</v>
      </c>
      <c r="L210" s="131">
        <v>0</v>
      </c>
      <c r="M210" s="131">
        <v>0</v>
      </c>
      <c r="N210" s="131">
        <v>0</v>
      </c>
      <c r="O210" s="131">
        <v>0</v>
      </c>
      <c r="P210" s="131">
        <v>0</v>
      </c>
      <c r="Q210" s="78">
        <f t="shared" si="56"/>
        <v>0</v>
      </c>
      <c r="R210" s="132">
        <f t="shared" si="57"/>
        <v>0</v>
      </c>
      <c r="S210" s="133">
        <f t="shared" si="58"/>
        <v>0</v>
      </c>
      <c r="T210" s="77"/>
    </row>
    <row r="211" spans="1:20" s="75" customFormat="1" ht="30" customHeight="1" thickBot="1">
      <c r="A211" s="115"/>
      <c r="B211" s="762" t="s">
        <v>385</v>
      </c>
      <c r="C211" s="763"/>
      <c r="D211" s="763"/>
      <c r="E211" s="763"/>
      <c r="F211" s="763"/>
      <c r="G211" s="763"/>
      <c r="H211" s="763"/>
      <c r="I211" s="763"/>
      <c r="J211" s="763"/>
      <c r="K211" s="763"/>
      <c r="L211" s="763"/>
      <c r="M211" s="763"/>
      <c r="N211" s="763"/>
      <c r="O211" s="763"/>
      <c r="P211" s="763"/>
      <c r="Q211" s="763"/>
      <c r="R211" s="763"/>
      <c r="S211" s="764"/>
      <c r="T211" s="115"/>
    </row>
    <row r="212" spans="1:20" s="11" customFormat="1" ht="14" customHeight="1">
      <c r="A212" s="77"/>
      <c r="B212" s="761" t="s">
        <v>32</v>
      </c>
      <c r="C212" s="120"/>
      <c r="D212" s="156"/>
      <c r="E212" s="759" t="s">
        <v>591</v>
      </c>
      <c r="F212" s="760"/>
      <c r="G212" s="756" t="s">
        <v>66</v>
      </c>
      <c r="H212" s="756"/>
      <c r="I212" s="742" t="s">
        <v>67</v>
      </c>
      <c r="J212" s="742"/>
      <c r="K212" s="743" t="s">
        <v>68</v>
      </c>
      <c r="L212" s="743"/>
      <c r="M212" s="744" t="s">
        <v>69</v>
      </c>
      <c r="N212" s="744"/>
      <c r="O212" s="745" t="s">
        <v>413</v>
      </c>
      <c r="P212" s="745"/>
      <c r="Q212" s="121" t="s">
        <v>763</v>
      </c>
      <c r="R212" s="122" t="s">
        <v>763</v>
      </c>
      <c r="S212" s="123" t="s">
        <v>763</v>
      </c>
      <c r="T212" s="77"/>
    </row>
    <row r="213" spans="1:20" s="11" customFormat="1" ht="14" customHeight="1">
      <c r="A213" s="77"/>
      <c r="B213" s="761"/>
      <c r="C213" s="120"/>
      <c r="D213" s="156"/>
      <c r="E213" s="469" t="s">
        <v>209</v>
      </c>
      <c r="F213" s="414" t="s">
        <v>208</v>
      </c>
      <c r="G213" s="414" t="s">
        <v>209</v>
      </c>
      <c r="H213" s="414" t="s">
        <v>208</v>
      </c>
      <c r="I213" s="414" t="s">
        <v>209</v>
      </c>
      <c r="J213" s="414" t="s">
        <v>208</v>
      </c>
      <c r="K213" s="414" t="s">
        <v>209</v>
      </c>
      <c r="L213" s="414" t="s">
        <v>208</v>
      </c>
      <c r="M213" s="414" t="s">
        <v>209</v>
      </c>
      <c r="N213" s="414" t="s">
        <v>208</v>
      </c>
      <c r="O213" s="414" t="s">
        <v>209</v>
      </c>
      <c r="P213" s="414" t="s">
        <v>208</v>
      </c>
      <c r="Q213" s="121" t="s">
        <v>209</v>
      </c>
      <c r="R213" s="468" t="s">
        <v>208</v>
      </c>
      <c r="S213" s="123" t="s">
        <v>413</v>
      </c>
      <c r="T213" s="77"/>
    </row>
    <row r="214" spans="1:20" s="11" customFormat="1" ht="28" customHeight="1">
      <c r="A214" s="77"/>
      <c r="B214" s="761"/>
      <c r="C214" s="124" t="s">
        <v>761</v>
      </c>
      <c r="D214" s="125" t="s">
        <v>762</v>
      </c>
      <c r="E214" s="126">
        <f t="shared" ref="E214:S214" si="59">SUM(E215:E226)</f>
        <v>73590000</v>
      </c>
      <c r="F214" s="126">
        <f t="shared" si="59"/>
        <v>73590000</v>
      </c>
      <c r="G214" s="126">
        <f t="shared" si="59"/>
        <v>0</v>
      </c>
      <c r="H214" s="126">
        <f t="shared" si="59"/>
        <v>0</v>
      </c>
      <c r="I214" s="126">
        <f t="shared" si="59"/>
        <v>0</v>
      </c>
      <c r="J214" s="126">
        <f t="shared" si="59"/>
        <v>0</v>
      </c>
      <c r="K214" s="126">
        <f t="shared" si="59"/>
        <v>104048961.67584117</v>
      </c>
      <c r="L214" s="126">
        <f t="shared" si="59"/>
        <v>4288775114.9536424</v>
      </c>
      <c r="M214" s="126">
        <f t="shared" si="59"/>
        <v>2435783.4050860796</v>
      </c>
      <c r="N214" s="126">
        <f t="shared" si="59"/>
        <v>2435783.4050860796</v>
      </c>
      <c r="O214" s="126">
        <f t="shared" si="59"/>
        <v>-72373086.357024997</v>
      </c>
      <c r="P214" s="126">
        <f t="shared" si="59"/>
        <v>-72373086.357024997</v>
      </c>
      <c r="Q214" s="79">
        <f t="shared" si="59"/>
        <v>180074745.08092725</v>
      </c>
      <c r="R214" s="127">
        <f t="shared" si="59"/>
        <v>4364800898.3587284</v>
      </c>
      <c r="S214" s="128">
        <f t="shared" si="59"/>
        <v>-72373086.357024997</v>
      </c>
      <c r="T214" s="77"/>
    </row>
    <row r="215" spans="1:20" s="11" customFormat="1" ht="14" customHeight="1">
      <c r="A215" s="77"/>
      <c r="B215" s="761"/>
      <c r="C215" s="142" t="s">
        <v>9</v>
      </c>
      <c r="D215" s="143" t="s">
        <v>0</v>
      </c>
      <c r="E215" s="470">
        <f>SUMPRODUCT('Solid Biomass and RDF'!C15:C19,'Solid Biomass and RDF'!K15:K19)</f>
        <v>29436000</v>
      </c>
      <c r="F215" s="131">
        <f>SUMPRODUCT('Solid Biomass and RDF'!O15:O19,'Solid Biomass and RDF'!W15:W19)</f>
        <v>29436000</v>
      </c>
      <c r="G215" s="131">
        <v>0</v>
      </c>
      <c r="H215" s="131">
        <v>0</v>
      </c>
      <c r="I215" s="131">
        <v>0</v>
      </c>
      <c r="J215" s="131">
        <v>0</v>
      </c>
      <c r="K215" s="131">
        <f>'Sankey conversion input'!E109-M215</f>
        <v>21145734.395502936</v>
      </c>
      <c r="L215" s="131">
        <f>'Sankey conversion input'!D109-N215</f>
        <v>41112735.300818056</v>
      </c>
      <c r="M215" s="131">
        <f>'Solid Biomass and RDF'!C25*'Solid Biomass and RDF'!K25</f>
        <v>23366.758019528836</v>
      </c>
      <c r="N215" s="131">
        <f>'Solid Biomass and RDF'!O25*'Solid Biomass and RDF'!W25</f>
        <v>23366.758019528836</v>
      </c>
      <c r="O215" s="131">
        <v>0</v>
      </c>
      <c r="P215" s="131">
        <v>0</v>
      </c>
      <c r="Q215" s="78">
        <f t="shared" ref="Q215:Q226" si="60">SUM(E215,G215,I215,K215,M215)</f>
        <v>50605101.153522469</v>
      </c>
      <c r="R215" s="132">
        <f t="shared" ref="R215:R226" si="61">SUM(F215,H215,J215,L215,N215)</f>
        <v>70572102.058837578</v>
      </c>
      <c r="S215" s="133">
        <f t="shared" ref="S215:S226" si="62">P215</f>
        <v>0</v>
      </c>
      <c r="T215" s="77"/>
    </row>
    <row r="216" spans="1:20" s="11" customFormat="1" ht="14" customHeight="1">
      <c r="A216" s="77"/>
      <c r="B216" s="761"/>
      <c r="C216" s="142" t="s">
        <v>9</v>
      </c>
      <c r="D216" s="134" t="s">
        <v>7</v>
      </c>
      <c r="E216" s="471">
        <v>0</v>
      </c>
      <c r="F216" s="131">
        <v>0</v>
      </c>
      <c r="G216" s="131">
        <v>0</v>
      </c>
      <c r="H216" s="131">
        <v>0</v>
      </c>
      <c r="I216" s="131">
        <v>0</v>
      </c>
      <c r="J216" s="131">
        <v>0</v>
      </c>
      <c r="K216" s="131">
        <f>'Sankey conversion input'!E110-M216</f>
        <v>20736.152755800867</v>
      </c>
      <c r="L216" s="131">
        <f>'Sankey conversion input'!D110-N216</f>
        <v>29991.142774405937</v>
      </c>
      <c r="M216" s="131">
        <v>0</v>
      </c>
      <c r="N216" s="131">
        <v>0</v>
      </c>
      <c r="O216" s="131">
        <v>0</v>
      </c>
      <c r="P216" s="131">
        <v>0</v>
      </c>
      <c r="Q216" s="78">
        <f t="shared" si="60"/>
        <v>20736.152755800867</v>
      </c>
      <c r="R216" s="132">
        <f t="shared" si="61"/>
        <v>29991.142774405937</v>
      </c>
      <c r="S216" s="133">
        <f t="shared" si="62"/>
        <v>0</v>
      </c>
      <c r="T216" s="77"/>
    </row>
    <row r="217" spans="1:20" s="11" customFormat="1" ht="14" customHeight="1">
      <c r="A217" s="77"/>
      <c r="B217" s="761"/>
      <c r="C217" s="142" t="s">
        <v>9</v>
      </c>
      <c r="D217" s="135" t="s">
        <v>1</v>
      </c>
      <c r="E217" s="471">
        <v>0</v>
      </c>
      <c r="F217" s="131">
        <v>0</v>
      </c>
      <c r="G217" s="131">
        <v>0</v>
      </c>
      <c r="H217" s="131">
        <v>0</v>
      </c>
      <c r="I217" s="131">
        <v>0</v>
      </c>
      <c r="J217" s="131">
        <v>0</v>
      </c>
      <c r="K217" s="131">
        <f>'Sankey conversion input'!E111-M217</f>
        <v>0</v>
      </c>
      <c r="L217" s="131">
        <f>'Sankey conversion input'!D111-N217</f>
        <v>0</v>
      </c>
      <c r="M217" s="131">
        <v>0</v>
      </c>
      <c r="N217" s="131">
        <v>0</v>
      </c>
      <c r="O217" s="131">
        <v>0</v>
      </c>
      <c r="P217" s="131">
        <v>0</v>
      </c>
      <c r="Q217" s="78">
        <f t="shared" si="60"/>
        <v>0</v>
      </c>
      <c r="R217" s="132">
        <f t="shared" si="61"/>
        <v>0</v>
      </c>
      <c r="S217" s="133">
        <f t="shared" si="62"/>
        <v>0</v>
      </c>
      <c r="T217" s="77"/>
    </row>
    <row r="218" spans="1:20" s="11" customFormat="1" ht="14" customHeight="1">
      <c r="A218" s="77"/>
      <c r="B218" s="761"/>
      <c r="C218" s="144" t="s">
        <v>9</v>
      </c>
      <c r="D218" s="145" t="s">
        <v>13</v>
      </c>
      <c r="E218" s="472">
        <v>0</v>
      </c>
      <c r="F218" s="146">
        <v>0</v>
      </c>
      <c r="G218" s="146">
        <v>0</v>
      </c>
      <c r="H218" s="146">
        <v>0</v>
      </c>
      <c r="I218" s="146">
        <v>0</v>
      </c>
      <c r="J218" s="146">
        <v>0</v>
      </c>
      <c r="K218" s="146">
        <f>'Sankey conversion input'!E112-M218</f>
        <v>0</v>
      </c>
      <c r="L218" s="146">
        <f>'Sankey conversion input'!D112-N218</f>
        <v>0</v>
      </c>
      <c r="M218" s="146">
        <v>0</v>
      </c>
      <c r="N218" s="146">
        <v>0</v>
      </c>
      <c r="O218" s="146">
        <v>0</v>
      </c>
      <c r="P218" s="146">
        <v>0</v>
      </c>
      <c r="Q218" s="147">
        <f t="shared" si="60"/>
        <v>0</v>
      </c>
      <c r="R218" s="148">
        <f t="shared" si="61"/>
        <v>0</v>
      </c>
      <c r="S218" s="149">
        <f t="shared" si="62"/>
        <v>0</v>
      </c>
      <c r="T218" s="77"/>
    </row>
    <row r="219" spans="1:20" s="11" customFormat="1" ht="14" customHeight="1">
      <c r="A219" s="77"/>
      <c r="B219" s="761"/>
      <c r="C219" s="129" t="s">
        <v>8</v>
      </c>
      <c r="D219" s="130" t="s">
        <v>0</v>
      </c>
      <c r="E219" s="471">
        <f>SUMPRODUCT('Solid Biomass and RDF'!C15:C19,'Solid Biomass and RDF'!L15:L19)</f>
        <v>44154000</v>
      </c>
      <c r="F219" s="131">
        <f>SUMPRODUCT('Solid Biomass and RDF'!O15:O19,'Solid Biomass and RDF'!X15:X19)</f>
        <v>44154000</v>
      </c>
      <c r="G219" s="131">
        <v>0</v>
      </c>
      <c r="H219" s="131">
        <v>0</v>
      </c>
      <c r="I219" s="131">
        <v>0</v>
      </c>
      <c r="J219" s="131">
        <v>0</v>
      </c>
      <c r="K219" s="131">
        <f>'Sankey conversion input'!E105-M219</f>
        <v>78307280.232604563</v>
      </c>
      <c r="L219" s="131">
        <f>'Sankey conversion input'!D105-N219</f>
        <v>4029367641.5601935</v>
      </c>
      <c r="M219" s="131">
        <f>'Solid Biomass and RDF'!C25*'Solid Biomass and RDF'!L25</f>
        <v>2354892.5814786367</v>
      </c>
      <c r="N219" s="131">
        <f>'Solid Biomass and RDF'!O25*'Solid Biomass and RDF'!X25</f>
        <v>2354892.5814786367</v>
      </c>
      <c r="O219" s="131">
        <f>SUM('Solid Biomass and RDF'!C28:C29)</f>
        <v>-72373086.357024997</v>
      </c>
      <c r="P219" s="131">
        <f>SUM('Solid Biomass and RDF'!O28:O29)</f>
        <v>-72373086.357024997</v>
      </c>
      <c r="Q219" s="78">
        <f t="shared" si="60"/>
        <v>124816172.8140832</v>
      </c>
      <c r="R219" s="132">
        <f t="shared" si="61"/>
        <v>4075876534.1416721</v>
      </c>
      <c r="S219" s="133">
        <f t="shared" si="62"/>
        <v>-72373086.357024997</v>
      </c>
      <c r="T219" s="77"/>
    </row>
    <row r="220" spans="1:20" s="11" customFormat="1" ht="14" customHeight="1">
      <c r="A220" s="77"/>
      <c r="B220" s="761"/>
      <c r="C220" s="129" t="s">
        <v>8</v>
      </c>
      <c r="D220" s="134" t="s">
        <v>7</v>
      </c>
      <c r="E220" s="471">
        <v>0</v>
      </c>
      <c r="F220" s="131">
        <v>0</v>
      </c>
      <c r="G220" s="131">
        <v>0</v>
      </c>
      <c r="H220" s="131">
        <v>0</v>
      </c>
      <c r="I220" s="131">
        <v>0</v>
      </c>
      <c r="J220" s="131">
        <v>0</v>
      </c>
      <c r="K220" s="131">
        <f>'Sankey conversion input'!E106-M220</f>
        <v>321520.1003773163</v>
      </c>
      <c r="L220" s="131">
        <f>'Sankey conversion input'!D106-N220</f>
        <v>53360309.539437197</v>
      </c>
      <c r="M220" s="131">
        <v>0</v>
      </c>
      <c r="N220" s="131">
        <v>0</v>
      </c>
      <c r="O220" s="131">
        <v>0</v>
      </c>
      <c r="P220" s="131">
        <v>0</v>
      </c>
      <c r="Q220" s="78">
        <f t="shared" si="60"/>
        <v>321520.1003773163</v>
      </c>
      <c r="R220" s="132">
        <f t="shared" si="61"/>
        <v>53360309.539437197</v>
      </c>
      <c r="S220" s="133">
        <f t="shared" si="62"/>
        <v>0</v>
      </c>
      <c r="T220" s="77"/>
    </row>
    <row r="221" spans="1:20" s="11" customFormat="1" ht="14" customHeight="1">
      <c r="A221" s="77"/>
      <c r="B221" s="761"/>
      <c r="C221" s="129" t="s">
        <v>8</v>
      </c>
      <c r="D221" s="135" t="s">
        <v>1</v>
      </c>
      <c r="E221" s="471">
        <v>0</v>
      </c>
      <c r="F221" s="131">
        <v>0</v>
      </c>
      <c r="G221" s="131">
        <v>0</v>
      </c>
      <c r="H221" s="131">
        <v>0</v>
      </c>
      <c r="I221" s="131">
        <v>0</v>
      </c>
      <c r="J221" s="131">
        <v>0</v>
      </c>
      <c r="K221" s="131">
        <f>'Sankey conversion input'!E107-M221</f>
        <v>432478.17268332129</v>
      </c>
      <c r="L221" s="131">
        <f>'Sankey conversion input'!D107-N221</f>
        <v>63619659.589343347</v>
      </c>
      <c r="M221" s="131">
        <v>0</v>
      </c>
      <c r="N221" s="131">
        <v>0</v>
      </c>
      <c r="O221" s="131">
        <v>0</v>
      </c>
      <c r="P221" s="131">
        <v>0</v>
      </c>
      <c r="Q221" s="78">
        <f t="shared" si="60"/>
        <v>432478.17268332129</v>
      </c>
      <c r="R221" s="132">
        <f t="shared" si="61"/>
        <v>63619659.589343347</v>
      </c>
      <c r="S221" s="133">
        <f t="shared" si="62"/>
        <v>0</v>
      </c>
      <c r="T221" s="77"/>
    </row>
    <row r="222" spans="1:20" s="11" customFormat="1" ht="14" customHeight="1">
      <c r="A222" s="77"/>
      <c r="B222" s="761"/>
      <c r="C222" s="136" t="s">
        <v>8</v>
      </c>
      <c r="D222" s="137" t="s">
        <v>13</v>
      </c>
      <c r="E222" s="473">
        <v>0</v>
      </c>
      <c r="F222" s="138">
        <v>0</v>
      </c>
      <c r="G222" s="138">
        <v>0</v>
      </c>
      <c r="H222" s="138">
        <v>0</v>
      </c>
      <c r="I222" s="138">
        <v>0</v>
      </c>
      <c r="J222" s="138">
        <v>0</v>
      </c>
      <c r="K222" s="138">
        <f>'Sankey conversion input'!E108-M222</f>
        <v>0</v>
      </c>
      <c r="L222" s="138">
        <f>'Sankey conversion input'!D108-N222</f>
        <v>0</v>
      </c>
      <c r="M222" s="138">
        <v>0</v>
      </c>
      <c r="N222" s="138">
        <f>'Sankey conversion input'!D108/SUM('Sankey conversion input'!$D$105:$D$116)*'Solid Biomass and RDF'!$O$25</f>
        <v>0</v>
      </c>
      <c r="O222" s="138">
        <v>0</v>
      </c>
      <c r="P222" s="138">
        <v>0</v>
      </c>
      <c r="Q222" s="139">
        <f t="shared" si="60"/>
        <v>0</v>
      </c>
      <c r="R222" s="140">
        <f t="shared" si="61"/>
        <v>0</v>
      </c>
      <c r="S222" s="141">
        <f t="shared" si="62"/>
        <v>0</v>
      </c>
      <c r="T222" s="77"/>
    </row>
    <row r="223" spans="1:20" s="11" customFormat="1" ht="14" customHeight="1">
      <c r="A223" s="77"/>
      <c r="B223" s="761"/>
      <c r="C223" s="150" t="s">
        <v>10</v>
      </c>
      <c r="D223" s="143" t="s">
        <v>0</v>
      </c>
      <c r="E223" s="471">
        <v>0</v>
      </c>
      <c r="F223" s="131">
        <v>0</v>
      </c>
      <c r="G223" s="131">
        <v>0</v>
      </c>
      <c r="H223" s="131">
        <v>0</v>
      </c>
      <c r="I223" s="131">
        <v>0</v>
      </c>
      <c r="J223" s="131">
        <v>0</v>
      </c>
      <c r="K223" s="131">
        <f>'Sankey conversion input'!E113-M223</f>
        <v>3791779.7564350041</v>
      </c>
      <c r="L223" s="131">
        <f>'Sankey conversion input'!D113-N223</f>
        <v>98439471.010745108</v>
      </c>
      <c r="M223" s="131">
        <f>'Solid Biomass and RDF'!C25*'Solid Biomass and RDF'!M25</f>
        <v>57524.065587913996</v>
      </c>
      <c r="N223" s="131">
        <f>'Solid Biomass and RDF'!O25*'Solid Biomass and RDF'!Y25</f>
        <v>57524.065587913996</v>
      </c>
      <c r="O223" s="131">
        <v>0</v>
      </c>
      <c r="P223" s="131">
        <v>0</v>
      </c>
      <c r="Q223" s="78">
        <f t="shared" si="60"/>
        <v>3849303.8220229181</v>
      </c>
      <c r="R223" s="132">
        <f t="shared" si="61"/>
        <v>98496995.076333016</v>
      </c>
      <c r="S223" s="133">
        <f t="shared" si="62"/>
        <v>0</v>
      </c>
      <c r="T223" s="77"/>
    </row>
    <row r="224" spans="1:20" s="11" customFormat="1" ht="14" customHeight="1">
      <c r="A224" s="77"/>
      <c r="B224" s="761"/>
      <c r="C224" s="150" t="s">
        <v>10</v>
      </c>
      <c r="D224" s="134" t="s">
        <v>7</v>
      </c>
      <c r="E224" s="471">
        <v>0</v>
      </c>
      <c r="F224" s="131">
        <v>0</v>
      </c>
      <c r="G224" s="131">
        <v>0</v>
      </c>
      <c r="H224" s="131">
        <v>0</v>
      </c>
      <c r="I224" s="131">
        <v>0</v>
      </c>
      <c r="J224" s="131">
        <v>0</v>
      </c>
      <c r="K224" s="131">
        <f>'Sankey conversion input'!E114-M224</f>
        <v>13002.626349406803</v>
      </c>
      <c r="L224" s="131">
        <f>'Sankey conversion input'!D114-N224</f>
        <v>1298280.811173154</v>
      </c>
      <c r="M224" s="131">
        <v>0</v>
      </c>
      <c r="N224" s="131">
        <v>0</v>
      </c>
      <c r="O224" s="131">
        <v>0</v>
      </c>
      <c r="P224" s="131">
        <v>0</v>
      </c>
      <c r="Q224" s="78">
        <f t="shared" si="60"/>
        <v>13002.626349406803</v>
      </c>
      <c r="R224" s="132">
        <f t="shared" si="61"/>
        <v>1298280.811173154</v>
      </c>
      <c r="S224" s="133">
        <f t="shared" si="62"/>
        <v>0</v>
      </c>
      <c r="T224" s="77"/>
    </row>
    <row r="225" spans="1:20" s="11" customFormat="1" ht="14" customHeight="1">
      <c r="A225" s="77"/>
      <c r="B225" s="761"/>
      <c r="C225" s="150" t="s">
        <v>10</v>
      </c>
      <c r="D225" s="135" t="s">
        <v>1</v>
      </c>
      <c r="E225" s="471">
        <v>0</v>
      </c>
      <c r="F225" s="131">
        <v>0</v>
      </c>
      <c r="G225" s="131">
        <v>0</v>
      </c>
      <c r="H225" s="151">
        <v>0</v>
      </c>
      <c r="I225" s="131">
        <v>0</v>
      </c>
      <c r="J225" s="131">
        <v>0</v>
      </c>
      <c r="K225" s="131">
        <f>'Sankey conversion input'!E115-M225</f>
        <v>16430.23913280647</v>
      </c>
      <c r="L225" s="131">
        <f>'Sankey conversion input'!D115-N225</f>
        <v>1547025.9991574036</v>
      </c>
      <c r="M225" s="131">
        <v>0</v>
      </c>
      <c r="N225" s="131">
        <v>0</v>
      </c>
      <c r="O225" s="131">
        <v>0</v>
      </c>
      <c r="P225" s="131">
        <v>0</v>
      </c>
      <c r="Q225" s="78">
        <f t="shared" si="60"/>
        <v>16430.23913280647</v>
      </c>
      <c r="R225" s="132">
        <f t="shared" si="61"/>
        <v>1547025.9991574036</v>
      </c>
      <c r="S225" s="133">
        <f t="shared" si="62"/>
        <v>0</v>
      </c>
      <c r="T225" s="77"/>
    </row>
    <row r="226" spans="1:20" s="11" customFormat="1" ht="14" customHeight="1" thickBot="1">
      <c r="A226" s="77"/>
      <c r="B226" s="761"/>
      <c r="C226" s="150" t="s">
        <v>10</v>
      </c>
      <c r="D226" s="166" t="s">
        <v>13</v>
      </c>
      <c r="E226" s="471">
        <v>0</v>
      </c>
      <c r="F226" s="131">
        <v>0</v>
      </c>
      <c r="G226" s="131">
        <v>0</v>
      </c>
      <c r="H226" s="131">
        <v>0</v>
      </c>
      <c r="I226" s="131">
        <v>0</v>
      </c>
      <c r="J226" s="131">
        <v>0</v>
      </c>
      <c r="K226" s="131">
        <f>'Sankey conversion input'!E116-M226</f>
        <v>0</v>
      </c>
      <c r="L226" s="131">
        <f>'Sankey conversion input'!D116-N226</f>
        <v>0</v>
      </c>
      <c r="M226" s="131">
        <v>0</v>
      </c>
      <c r="N226" s="131">
        <f>'Sankey conversion input'!D116/SUM('Sankey conversion input'!$D$105:$D$116)*'Solid Biomass and RDF'!$O$25</f>
        <v>0</v>
      </c>
      <c r="O226" s="131">
        <v>0</v>
      </c>
      <c r="P226" s="131">
        <v>0</v>
      </c>
      <c r="Q226" s="78">
        <f t="shared" si="60"/>
        <v>0</v>
      </c>
      <c r="R226" s="132">
        <f t="shared" si="61"/>
        <v>0</v>
      </c>
      <c r="S226" s="133">
        <f t="shared" si="62"/>
        <v>0</v>
      </c>
      <c r="T226" s="77"/>
    </row>
    <row r="227" spans="1:20" s="75" customFormat="1" ht="30" customHeight="1" thickBot="1">
      <c r="A227" s="115"/>
      <c r="B227" s="765" t="s">
        <v>374</v>
      </c>
      <c r="C227" s="766"/>
      <c r="D227" s="766"/>
      <c r="E227" s="766"/>
      <c r="F227" s="766"/>
      <c r="G227" s="766"/>
      <c r="H227" s="766"/>
      <c r="I227" s="766"/>
      <c r="J227" s="766"/>
      <c r="K227" s="766"/>
      <c r="L227" s="766"/>
      <c r="M227" s="766"/>
      <c r="N227" s="766"/>
      <c r="O227" s="766"/>
      <c r="P227" s="766"/>
      <c r="Q227" s="766"/>
      <c r="R227" s="766"/>
      <c r="S227" s="767"/>
      <c r="T227" s="115"/>
    </row>
    <row r="228" spans="1:20" s="11" customFormat="1" ht="14" customHeight="1">
      <c r="A228" s="77"/>
      <c r="B228" s="761" t="s">
        <v>32</v>
      </c>
      <c r="C228" s="120"/>
      <c r="D228" s="156"/>
      <c r="E228" s="759" t="s">
        <v>591</v>
      </c>
      <c r="F228" s="760"/>
      <c r="G228" s="756" t="s">
        <v>66</v>
      </c>
      <c r="H228" s="756"/>
      <c r="I228" s="742" t="s">
        <v>67</v>
      </c>
      <c r="J228" s="742"/>
      <c r="K228" s="743" t="s">
        <v>68</v>
      </c>
      <c r="L228" s="743"/>
      <c r="M228" s="744" t="s">
        <v>69</v>
      </c>
      <c r="N228" s="744"/>
      <c r="O228" s="745" t="s">
        <v>413</v>
      </c>
      <c r="P228" s="745"/>
      <c r="Q228" s="121" t="s">
        <v>763</v>
      </c>
      <c r="R228" s="122" t="s">
        <v>763</v>
      </c>
      <c r="S228" s="123" t="s">
        <v>763</v>
      </c>
      <c r="T228" s="77"/>
    </row>
    <row r="229" spans="1:20" s="11" customFormat="1" ht="14" customHeight="1">
      <c r="A229" s="77"/>
      <c r="B229" s="761"/>
      <c r="C229" s="120"/>
      <c r="D229" s="156"/>
      <c r="E229" s="469" t="s">
        <v>209</v>
      </c>
      <c r="F229" s="414" t="s">
        <v>208</v>
      </c>
      <c r="G229" s="414" t="s">
        <v>209</v>
      </c>
      <c r="H229" s="414" t="s">
        <v>208</v>
      </c>
      <c r="I229" s="414" t="s">
        <v>209</v>
      </c>
      <c r="J229" s="414" t="s">
        <v>208</v>
      </c>
      <c r="K229" s="414" t="s">
        <v>209</v>
      </c>
      <c r="L229" s="414" t="s">
        <v>208</v>
      </c>
      <c r="M229" s="414" t="s">
        <v>209</v>
      </c>
      <c r="N229" s="414" t="s">
        <v>208</v>
      </c>
      <c r="O229" s="414" t="s">
        <v>209</v>
      </c>
      <c r="P229" s="414" t="s">
        <v>208</v>
      </c>
      <c r="Q229" s="121" t="s">
        <v>209</v>
      </c>
      <c r="R229" s="468" t="s">
        <v>208</v>
      </c>
      <c r="S229" s="123" t="s">
        <v>413</v>
      </c>
      <c r="T229" s="77"/>
    </row>
    <row r="230" spans="1:20" s="11" customFormat="1" ht="28" customHeight="1">
      <c r="A230" s="77"/>
      <c r="B230" s="761"/>
      <c r="C230" s="124" t="s">
        <v>761</v>
      </c>
      <c r="D230" s="125" t="s">
        <v>762</v>
      </c>
      <c r="E230" s="126">
        <f t="shared" ref="E230:S230" si="63">SUM(E231:E242)</f>
        <v>0</v>
      </c>
      <c r="F230" s="126">
        <f t="shared" si="63"/>
        <v>0</v>
      </c>
      <c r="G230" s="126">
        <f t="shared" si="63"/>
        <v>0</v>
      </c>
      <c r="H230" s="126">
        <f t="shared" si="63"/>
        <v>0</v>
      </c>
      <c r="I230" s="126">
        <f t="shared" si="63"/>
        <v>0</v>
      </c>
      <c r="J230" s="126">
        <f t="shared" si="63"/>
        <v>0</v>
      </c>
      <c r="K230" s="126">
        <f t="shared" si="63"/>
        <v>2778556.1422072342</v>
      </c>
      <c r="L230" s="126">
        <f t="shared" si="63"/>
        <v>103521134.65952097</v>
      </c>
      <c r="M230" s="126">
        <f t="shared" si="63"/>
        <v>0</v>
      </c>
      <c r="N230" s="126">
        <f t="shared" si="63"/>
        <v>0</v>
      </c>
      <c r="O230" s="126">
        <f t="shared" si="63"/>
        <v>-7709487.1939999983</v>
      </c>
      <c r="P230" s="126">
        <f t="shared" si="63"/>
        <v>-7709487.1939999983</v>
      </c>
      <c r="Q230" s="79">
        <f t="shared" si="63"/>
        <v>2778556.1422072342</v>
      </c>
      <c r="R230" s="127">
        <f t="shared" si="63"/>
        <v>103521134.65952097</v>
      </c>
      <c r="S230" s="128">
        <f t="shared" si="63"/>
        <v>-7709487.1939999983</v>
      </c>
      <c r="T230" s="77"/>
    </row>
    <row r="231" spans="1:20" s="11" customFormat="1" ht="14" customHeight="1">
      <c r="A231" s="77"/>
      <c r="B231" s="761"/>
      <c r="C231" s="142" t="s">
        <v>9</v>
      </c>
      <c r="D231" s="143" t="s">
        <v>0</v>
      </c>
      <c r="E231" s="470">
        <v>0</v>
      </c>
      <c r="F231" s="131">
        <v>0</v>
      </c>
      <c r="G231" s="131">
        <v>0</v>
      </c>
      <c r="H231" s="131">
        <v>0</v>
      </c>
      <c r="I231" s="131">
        <v>0</v>
      </c>
      <c r="J231" s="131">
        <v>0</v>
      </c>
      <c r="K231" s="131">
        <f>'Sankey conversion input'!E123-M231</f>
        <v>426838.04836041294</v>
      </c>
      <c r="L231" s="131">
        <f>'Sankey conversion input'!D123-N231</f>
        <v>821921.20736632054</v>
      </c>
      <c r="M231" s="131">
        <v>0</v>
      </c>
      <c r="N231" s="131">
        <v>0</v>
      </c>
      <c r="O231" s="131">
        <v>0</v>
      </c>
      <c r="P231" s="131">
        <v>0</v>
      </c>
      <c r="Q231" s="78">
        <f t="shared" ref="Q231:Q242" si="64">SUM(E231,G231,I231,K231,M231)</f>
        <v>426838.04836041294</v>
      </c>
      <c r="R231" s="132">
        <f t="shared" ref="R231:R242" si="65">SUM(F231,H231,J231,L231,N231)</f>
        <v>821921.20736632054</v>
      </c>
      <c r="S231" s="133">
        <f t="shared" ref="S231:S242" si="66">P231</f>
        <v>0</v>
      </c>
      <c r="T231" s="77"/>
    </row>
    <row r="232" spans="1:20" s="11" customFormat="1" ht="14" customHeight="1">
      <c r="A232" s="77"/>
      <c r="B232" s="761"/>
      <c r="C232" s="142" t="s">
        <v>9</v>
      </c>
      <c r="D232" s="134" t="s">
        <v>7</v>
      </c>
      <c r="E232" s="471">
        <v>0</v>
      </c>
      <c r="F232" s="131">
        <v>0</v>
      </c>
      <c r="G232" s="131">
        <v>0</v>
      </c>
      <c r="H232" s="131">
        <v>0</v>
      </c>
      <c r="I232" s="131">
        <v>0</v>
      </c>
      <c r="J232" s="131">
        <v>0</v>
      </c>
      <c r="K232" s="131">
        <f>'Sankey conversion input'!E124-M232</f>
        <v>0</v>
      </c>
      <c r="L232" s="131">
        <f>'Sankey conversion input'!D124-N232</f>
        <v>0</v>
      </c>
      <c r="M232" s="131">
        <v>0</v>
      </c>
      <c r="N232" s="131">
        <v>0</v>
      </c>
      <c r="O232" s="131">
        <v>0</v>
      </c>
      <c r="P232" s="131">
        <v>0</v>
      </c>
      <c r="Q232" s="78">
        <f t="shared" si="64"/>
        <v>0</v>
      </c>
      <c r="R232" s="132">
        <f t="shared" si="65"/>
        <v>0</v>
      </c>
      <c r="S232" s="133">
        <f t="shared" si="66"/>
        <v>0</v>
      </c>
      <c r="T232" s="77"/>
    </row>
    <row r="233" spans="1:20" s="11" customFormat="1" ht="14" customHeight="1">
      <c r="A233" s="77"/>
      <c r="B233" s="761"/>
      <c r="C233" s="142" t="s">
        <v>9</v>
      </c>
      <c r="D233" s="135" t="s">
        <v>1</v>
      </c>
      <c r="E233" s="471">
        <v>0</v>
      </c>
      <c r="F233" s="131">
        <v>0</v>
      </c>
      <c r="G233" s="131">
        <v>0</v>
      </c>
      <c r="H233" s="131">
        <v>0</v>
      </c>
      <c r="I233" s="131">
        <v>0</v>
      </c>
      <c r="J233" s="131">
        <v>0</v>
      </c>
      <c r="K233" s="131">
        <f>'Sankey conversion input'!E125-M233</f>
        <v>0</v>
      </c>
      <c r="L233" s="131">
        <f>'Sankey conversion input'!D125-N233</f>
        <v>0</v>
      </c>
      <c r="M233" s="131">
        <v>0</v>
      </c>
      <c r="N233" s="131">
        <v>0</v>
      </c>
      <c r="O233" s="131">
        <v>0</v>
      </c>
      <c r="P233" s="131">
        <v>0</v>
      </c>
      <c r="Q233" s="78">
        <f t="shared" si="64"/>
        <v>0</v>
      </c>
      <c r="R233" s="132">
        <f t="shared" si="65"/>
        <v>0</v>
      </c>
      <c r="S233" s="133">
        <f t="shared" si="66"/>
        <v>0</v>
      </c>
      <c r="T233" s="77"/>
    </row>
    <row r="234" spans="1:20" s="11" customFormat="1" ht="14" customHeight="1">
      <c r="A234" s="77"/>
      <c r="B234" s="761"/>
      <c r="C234" s="144" t="s">
        <v>9</v>
      </c>
      <c r="D234" s="145" t="s">
        <v>13</v>
      </c>
      <c r="E234" s="472">
        <v>0</v>
      </c>
      <c r="F234" s="146">
        <v>0</v>
      </c>
      <c r="G234" s="146">
        <v>0</v>
      </c>
      <c r="H234" s="146">
        <v>0</v>
      </c>
      <c r="I234" s="146">
        <v>0</v>
      </c>
      <c r="J234" s="146">
        <v>0</v>
      </c>
      <c r="K234" s="146">
        <f>'Sankey conversion input'!E126-M234</f>
        <v>0</v>
      </c>
      <c r="L234" s="146">
        <f>'Sankey conversion input'!D126-N234</f>
        <v>0</v>
      </c>
      <c r="M234" s="146">
        <v>0</v>
      </c>
      <c r="N234" s="146">
        <v>0</v>
      </c>
      <c r="O234" s="146">
        <v>0</v>
      </c>
      <c r="P234" s="146">
        <v>0</v>
      </c>
      <c r="Q234" s="147">
        <f t="shared" si="64"/>
        <v>0</v>
      </c>
      <c r="R234" s="148">
        <f t="shared" si="65"/>
        <v>0</v>
      </c>
      <c r="S234" s="149">
        <f t="shared" si="66"/>
        <v>0</v>
      </c>
      <c r="T234" s="77"/>
    </row>
    <row r="235" spans="1:20" s="11" customFormat="1" ht="14" customHeight="1">
      <c r="A235" s="77"/>
      <c r="B235" s="761"/>
      <c r="C235" s="129" t="s">
        <v>8</v>
      </c>
      <c r="D235" s="130" t="s">
        <v>0</v>
      </c>
      <c r="E235" s="471">
        <v>0</v>
      </c>
      <c r="F235" s="131">
        <v>0</v>
      </c>
      <c r="G235" s="131">
        <v>0</v>
      </c>
      <c r="H235" s="131">
        <v>0</v>
      </c>
      <c r="I235" s="131">
        <v>0</v>
      </c>
      <c r="J235" s="131">
        <v>0</v>
      </c>
      <c r="K235" s="131">
        <f>'Sankey conversion input'!E119-M235</f>
        <v>2056086.4569710356</v>
      </c>
      <c r="L235" s="131">
        <f>'Sankey conversion input'!D119-N235</f>
        <v>102179700.93542401</v>
      </c>
      <c r="M235" s="131">
        <v>0</v>
      </c>
      <c r="N235" s="131">
        <v>0</v>
      </c>
      <c r="O235" s="131">
        <f>Biogas!C18</f>
        <v>-7709487.1939999983</v>
      </c>
      <c r="P235" s="131">
        <f>Biogas!O18</f>
        <v>-7709487.1939999983</v>
      </c>
      <c r="Q235" s="78">
        <f t="shared" si="64"/>
        <v>2056086.4569710356</v>
      </c>
      <c r="R235" s="132">
        <f t="shared" si="65"/>
        <v>102179700.93542401</v>
      </c>
      <c r="S235" s="133">
        <f t="shared" si="66"/>
        <v>-7709487.1939999983</v>
      </c>
      <c r="T235" s="77"/>
    </row>
    <row r="236" spans="1:20" s="11" customFormat="1" ht="14" customHeight="1">
      <c r="A236" s="77"/>
      <c r="B236" s="761"/>
      <c r="C236" s="129" t="s">
        <v>8</v>
      </c>
      <c r="D236" s="134" t="s">
        <v>7</v>
      </c>
      <c r="E236" s="471">
        <v>0</v>
      </c>
      <c r="F236" s="131">
        <v>0</v>
      </c>
      <c r="G236" s="131">
        <v>0</v>
      </c>
      <c r="H236" s="131">
        <v>0</v>
      </c>
      <c r="I236" s="131">
        <v>0</v>
      </c>
      <c r="J236" s="131">
        <v>0</v>
      </c>
      <c r="K236" s="131">
        <f>'Sankey conversion input'!E120-M236</f>
        <v>0</v>
      </c>
      <c r="L236" s="131">
        <f>'Sankey conversion input'!D120-N236</f>
        <v>0</v>
      </c>
      <c r="M236" s="131">
        <v>0</v>
      </c>
      <c r="N236" s="131">
        <v>0</v>
      </c>
      <c r="O236" s="131">
        <v>0</v>
      </c>
      <c r="P236" s="131">
        <v>0</v>
      </c>
      <c r="Q236" s="78">
        <f t="shared" si="64"/>
        <v>0</v>
      </c>
      <c r="R236" s="132">
        <f t="shared" si="65"/>
        <v>0</v>
      </c>
      <c r="S236" s="133">
        <f t="shared" si="66"/>
        <v>0</v>
      </c>
      <c r="T236" s="77"/>
    </row>
    <row r="237" spans="1:20" s="11" customFormat="1" ht="14" customHeight="1">
      <c r="A237" s="77"/>
      <c r="B237" s="761"/>
      <c r="C237" s="129" t="s">
        <v>8</v>
      </c>
      <c r="D237" s="135" t="s">
        <v>1</v>
      </c>
      <c r="E237" s="471">
        <v>0</v>
      </c>
      <c r="F237" s="131">
        <v>0</v>
      </c>
      <c r="G237" s="131">
        <v>0</v>
      </c>
      <c r="H237" s="131">
        <v>0</v>
      </c>
      <c r="I237" s="131">
        <v>0</v>
      </c>
      <c r="J237" s="131">
        <v>0</v>
      </c>
      <c r="K237" s="131">
        <f>'Sankey conversion input'!E121-M237</f>
        <v>0</v>
      </c>
      <c r="L237" s="131">
        <f>'Sankey conversion input'!D121-N237</f>
        <v>0</v>
      </c>
      <c r="M237" s="131">
        <v>0</v>
      </c>
      <c r="N237" s="131">
        <v>0</v>
      </c>
      <c r="O237" s="131">
        <v>0</v>
      </c>
      <c r="P237" s="131">
        <v>0</v>
      </c>
      <c r="Q237" s="78">
        <f t="shared" si="64"/>
        <v>0</v>
      </c>
      <c r="R237" s="132">
        <f t="shared" si="65"/>
        <v>0</v>
      </c>
      <c r="S237" s="133">
        <f t="shared" si="66"/>
        <v>0</v>
      </c>
      <c r="T237" s="77"/>
    </row>
    <row r="238" spans="1:20" s="11" customFormat="1" ht="14" customHeight="1">
      <c r="A238" s="77"/>
      <c r="B238" s="761"/>
      <c r="C238" s="136" t="s">
        <v>8</v>
      </c>
      <c r="D238" s="137" t="s">
        <v>13</v>
      </c>
      <c r="E238" s="473">
        <v>0</v>
      </c>
      <c r="F238" s="138">
        <v>0</v>
      </c>
      <c r="G238" s="138">
        <v>0</v>
      </c>
      <c r="H238" s="138">
        <v>0</v>
      </c>
      <c r="I238" s="138">
        <v>0</v>
      </c>
      <c r="J238" s="138">
        <v>0</v>
      </c>
      <c r="K238" s="138">
        <f>'Sankey conversion input'!E122-M238</f>
        <v>0</v>
      </c>
      <c r="L238" s="138">
        <f>'Sankey conversion input'!D122-N238</f>
        <v>0</v>
      </c>
      <c r="M238" s="138">
        <v>0</v>
      </c>
      <c r="N238" s="138">
        <v>0</v>
      </c>
      <c r="O238" s="138">
        <v>0</v>
      </c>
      <c r="P238" s="138">
        <v>0</v>
      </c>
      <c r="Q238" s="139">
        <f t="shared" si="64"/>
        <v>0</v>
      </c>
      <c r="R238" s="140">
        <f t="shared" si="65"/>
        <v>0</v>
      </c>
      <c r="S238" s="141">
        <f t="shared" si="66"/>
        <v>0</v>
      </c>
      <c r="T238" s="77"/>
    </row>
    <row r="239" spans="1:20" s="11" customFormat="1" ht="14" customHeight="1">
      <c r="A239" s="77"/>
      <c r="B239" s="761"/>
      <c r="C239" s="150" t="s">
        <v>10</v>
      </c>
      <c r="D239" s="143" t="s">
        <v>0</v>
      </c>
      <c r="E239" s="471">
        <v>0</v>
      </c>
      <c r="F239" s="131">
        <v>0</v>
      </c>
      <c r="G239" s="131">
        <v>0</v>
      </c>
      <c r="H239" s="131">
        <v>0</v>
      </c>
      <c r="I239" s="131">
        <v>0</v>
      </c>
      <c r="J239" s="131">
        <v>0</v>
      </c>
      <c r="K239" s="131">
        <f>'Sankey conversion input'!E127-M239</f>
        <v>295631.63687578571</v>
      </c>
      <c r="L239" s="131">
        <f>'Sankey conversion input'!D127-N239</f>
        <v>519512.51673063729</v>
      </c>
      <c r="M239" s="131">
        <v>0</v>
      </c>
      <c r="N239" s="131">
        <v>0</v>
      </c>
      <c r="O239" s="131">
        <v>0</v>
      </c>
      <c r="P239" s="131">
        <v>0</v>
      </c>
      <c r="Q239" s="78">
        <f t="shared" si="64"/>
        <v>295631.63687578571</v>
      </c>
      <c r="R239" s="132">
        <f t="shared" si="65"/>
        <v>519512.51673063729</v>
      </c>
      <c r="S239" s="133">
        <f t="shared" si="66"/>
        <v>0</v>
      </c>
      <c r="T239" s="77"/>
    </row>
    <row r="240" spans="1:20" s="11" customFormat="1" ht="14" customHeight="1">
      <c r="A240" s="77"/>
      <c r="B240" s="761"/>
      <c r="C240" s="150" t="s">
        <v>10</v>
      </c>
      <c r="D240" s="134" t="s">
        <v>7</v>
      </c>
      <c r="E240" s="471">
        <v>0</v>
      </c>
      <c r="F240" s="131">
        <v>0</v>
      </c>
      <c r="G240" s="131">
        <v>0</v>
      </c>
      <c r="H240" s="131">
        <v>0</v>
      </c>
      <c r="I240" s="131">
        <v>0</v>
      </c>
      <c r="J240" s="131">
        <v>0</v>
      </c>
      <c r="K240" s="131">
        <f>'Sankey conversion input'!E128-M240</f>
        <v>0</v>
      </c>
      <c r="L240" s="131">
        <f>'Sankey conversion input'!D128-N240</f>
        <v>0</v>
      </c>
      <c r="M240" s="131">
        <v>0</v>
      </c>
      <c r="N240" s="131">
        <v>0</v>
      </c>
      <c r="O240" s="131">
        <v>0</v>
      </c>
      <c r="P240" s="131">
        <v>0</v>
      </c>
      <c r="Q240" s="78">
        <f t="shared" si="64"/>
        <v>0</v>
      </c>
      <c r="R240" s="132">
        <f t="shared" si="65"/>
        <v>0</v>
      </c>
      <c r="S240" s="133">
        <f t="shared" si="66"/>
        <v>0</v>
      </c>
      <c r="T240" s="77"/>
    </row>
    <row r="241" spans="1:20" s="11" customFormat="1" ht="14" customHeight="1">
      <c r="A241" s="77"/>
      <c r="B241" s="761"/>
      <c r="C241" s="150" t="s">
        <v>10</v>
      </c>
      <c r="D241" s="135" t="s">
        <v>1</v>
      </c>
      <c r="E241" s="471">
        <v>0</v>
      </c>
      <c r="F241" s="131">
        <v>0</v>
      </c>
      <c r="G241" s="131">
        <v>0</v>
      </c>
      <c r="H241" s="151">
        <v>0</v>
      </c>
      <c r="I241" s="131">
        <v>0</v>
      </c>
      <c r="J241" s="131">
        <v>0</v>
      </c>
      <c r="K241" s="131">
        <f>'Sankey conversion input'!E129-M241</f>
        <v>0</v>
      </c>
      <c r="L241" s="131">
        <f>'Sankey conversion input'!D129-N241</f>
        <v>0</v>
      </c>
      <c r="M241" s="131">
        <v>0</v>
      </c>
      <c r="N241" s="131">
        <v>0</v>
      </c>
      <c r="O241" s="131">
        <v>0</v>
      </c>
      <c r="P241" s="131">
        <v>0</v>
      </c>
      <c r="Q241" s="78">
        <f t="shared" si="64"/>
        <v>0</v>
      </c>
      <c r="R241" s="132">
        <f t="shared" si="65"/>
        <v>0</v>
      </c>
      <c r="S241" s="133">
        <f t="shared" si="66"/>
        <v>0</v>
      </c>
      <c r="T241" s="77"/>
    </row>
    <row r="242" spans="1:20" s="11" customFormat="1" ht="14" customHeight="1" thickBot="1">
      <c r="A242" s="77"/>
      <c r="B242" s="761"/>
      <c r="C242" s="150" t="s">
        <v>10</v>
      </c>
      <c r="D242" s="166" t="s">
        <v>13</v>
      </c>
      <c r="E242" s="471">
        <v>0</v>
      </c>
      <c r="F242" s="131">
        <v>0</v>
      </c>
      <c r="G242" s="131">
        <v>0</v>
      </c>
      <c r="H242" s="131">
        <v>0</v>
      </c>
      <c r="I242" s="131">
        <v>0</v>
      </c>
      <c r="J242" s="131">
        <v>0</v>
      </c>
      <c r="K242" s="131">
        <f>'Sankey conversion input'!E130-M242</f>
        <v>0</v>
      </c>
      <c r="L242" s="131">
        <f>'Sankey conversion input'!D130-N242</f>
        <v>0</v>
      </c>
      <c r="M242" s="131">
        <v>0</v>
      </c>
      <c r="N242" s="131">
        <v>0</v>
      </c>
      <c r="O242" s="131">
        <v>0</v>
      </c>
      <c r="P242" s="131">
        <v>0</v>
      </c>
      <c r="Q242" s="78">
        <f t="shared" si="64"/>
        <v>0</v>
      </c>
      <c r="R242" s="132">
        <f t="shared" si="65"/>
        <v>0</v>
      </c>
      <c r="S242" s="133">
        <f t="shared" si="66"/>
        <v>0</v>
      </c>
      <c r="T242" s="77"/>
    </row>
    <row r="243" spans="1:20" s="75" customFormat="1" ht="30" customHeight="1" thickBot="1">
      <c r="A243" s="115"/>
      <c r="B243" s="803" t="s">
        <v>6</v>
      </c>
      <c r="C243" s="804"/>
      <c r="D243" s="804"/>
      <c r="E243" s="804"/>
      <c r="F243" s="804"/>
      <c r="G243" s="804"/>
      <c r="H243" s="804"/>
      <c r="I243" s="804"/>
      <c r="J243" s="804"/>
      <c r="K243" s="804"/>
      <c r="L243" s="804"/>
      <c r="M243" s="804"/>
      <c r="N243" s="804"/>
      <c r="O243" s="804"/>
      <c r="P243" s="804"/>
      <c r="Q243" s="804"/>
      <c r="R243" s="804"/>
      <c r="S243" s="805"/>
      <c r="T243" s="115"/>
    </row>
    <row r="244" spans="1:20" s="11" customFormat="1" ht="14" customHeight="1">
      <c r="A244" s="77"/>
      <c r="B244" s="761" t="s">
        <v>32</v>
      </c>
      <c r="C244" s="120"/>
      <c r="D244" s="156"/>
      <c r="E244" s="759" t="s">
        <v>591</v>
      </c>
      <c r="F244" s="760"/>
      <c r="G244" s="756" t="s">
        <v>66</v>
      </c>
      <c r="H244" s="756"/>
      <c r="I244" s="742" t="s">
        <v>67</v>
      </c>
      <c r="J244" s="742"/>
      <c r="K244" s="743" t="s">
        <v>68</v>
      </c>
      <c r="L244" s="743"/>
      <c r="M244" s="744" t="s">
        <v>69</v>
      </c>
      <c r="N244" s="744"/>
      <c r="O244" s="745" t="s">
        <v>413</v>
      </c>
      <c r="P244" s="745"/>
      <c r="Q244" s="121" t="s">
        <v>763</v>
      </c>
      <c r="R244" s="122" t="s">
        <v>763</v>
      </c>
      <c r="S244" s="123" t="s">
        <v>763</v>
      </c>
      <c r="T244" s="77"/>
    </row>
    <row r="245" spans="1:20" s="11" customFormat="1" ht="14" customHeight="1">
      <c r="A245" s="77"/>
      <c r="B245" s="761"/>
      <c r="C245" s="120"/>
      <c r="D245" s="156"/>
      <c r="E245" s="469" t="s">
        <v>209</v>
      </c>
      <c r="F245" s="414" t="s">
        <v>208</v>
      </c>
      <c r="G245" s="414" t="s">
        <v>209</v>
      </c>
      <c r="H245" s="414" t="s">
        <v>208</v>
      </c>
      <c r="I245" s="414" t="s">
        <v>209</v>
      </c>
      <c r="J245" s="414" t="s">
        <v>208</v>
      </c>
      <c r="K245" s="414" t="s">
        <v>209</v>
      </c>
      <c r="L245" s="414" t="s">
        <v>208</v>
      </c>
      <c r="M245" s="414" t="s">
        <v>209</v>
      </c>
      <c r="N245" s="414" t="s">
        <v>208</v>
      </c>
      <c r="O245" s="414" t="s">
        <v>209</v>
      </c>
      <c r="P245" s="414" t="s">
        <v>208</v>
      </c>
      <c r="Q245" s="121" t="s">
        <v>209</v>
      </c>
      <c r="R245" s="468" t="s">
        <v>208</v>
      </c>
      <c r="S245" s="123" t="s">
        <v>413</v>
      </c>
      <c r="T245" s="77"/>
    </row>
    <row r="246" spans="1:20" s="11" customFormat="1" ht="28" customHeight="1">
      <c r="A246" s="77"/>
      <c r="B246" s="761"/>
      <c r="C246" s="124" t="s">
        <v>761</v>
      </c>
      <c r="D246" s="125" t="s">
        <v>762</v>
      </c>
      <c r="E246" s="126">
        <f t="shared" ref="E246:S246" si="67">SUM(E247:E258)</f>
        <v>150080612.11469269</v>
      </c>
      <c r="F246" s="126">
        <f t="shared" si="67"/>
        <v>150080612.11469269</v>
      </c>
      <c r="G246" s="126">
        <f t="shared" si="67"/>
        <v>0</v>
      </c>
      <c r="H246" s="126">
        <f t="shared" si="67"/>
        <v>0</v>
      </c>
      <c r="I246" s="126">
        <f t="shared" si="67"/>
        <v>0</v>
      </c>
      <c r="J246" s="126">
        <f t="shared" si="67"/>
        <v>0</v>
      </c>
      <c r="K246" s="126">
        <f t="shared" si="67"/>
        <v>18237182.9614572</v>
      </c>
      <c r="L246" s="126">
        <f t="shared" si="67"/>
        <v>18424716.777429923</v>
      </c>
      <c r="M246" s="126">
        <f t="shared" si="67"/>
        <v>0</v>
      </c>
      <c r="N246" s="126">
        <f t="shared" si="67"/>
        <v>0</v>
      </c>
      <c r="O246" s="126">
        <f t="shared" si="67"/>
        <v>0</v>
      </c>
      <c r="P246" s="126">
        <f t="shared" si="67"/>
        <v>0</v>
      </c>
      <c r="Q246" s="79">
        <f t="shared" si="67"/>
        <v>168317795.07614988</v>
      </c>
      <c r="R246" s="127">
        <f t="shared" si="67"/>
        <v>168505328.89212263</v>
      </c>
      <c r="S246" s="128">
        <f t="shared" si="67"/>
        <v>0</v>
      </c>
      <c r="T246" s="77"/>
    </row>
    <row r="247" spans="1:20" s="11" customFormat="1" ht="14" customHeight="1">
      <c r="A247" s="77"/>
      <c r="B247" s="761"/>
      <c r="C247" s="142" t="s">
        <v>9</v>
      </c>
      <c r="D247" s="143" t="s">
        <v>0</v>
      </c>
      <c r="E247" s="470">
        <f>SUMPRODUCT(Geothermal!C15:C19,Geothermal!K15:K19)</f>
        <v>132346626.83419269</v>
      </c>
      <c r="F247" s="131">
        <f>SUMPRODUCT(Geothermal!O15:O19,Geothermal!W15:W19)</f>
        <v>132346626.83419269</v>
      </c>
      <c r="G247" s="131">
        <v>0</v>
      </c>
      <c r="H247" s="131">
        <v>0</v>
      </c>
      <c r="I247" s="131">
        <v>0</v>
      </c>
      <c r="J247" s="131">
        <v>0</v>
      </c>
      <c r="K247" s="131">
        <f>'Sankey conversion input'!E137</f>
        <v>11871619.381157201</v>
      </c>
      <c r="L247" s="131">
        <f>'Sankey conversion input'!D137</f>
        <v>12059153.197129926</v>
      </c>
      <c r="M247" s="131">
        <v>0</v>
      </c>
      <c r="N247" s="131">
        <v>0</v>
      </c>
      <c r="O247" s="131">
        <v>0</v>
      </c>
      <c r="P247" s="131">
        <v>0</v>
      </c>
      <c r="Q247" s="78">
        <f t="shared" ref="Q247:Q258" si="68">SUM(E247,G247,I247,K247,M247)</f>
        <v>144218246.21534988</v>
      </c>
      <c r="R247" s="132">
        <f t="shared" ref="R247:R258" si="69">SUM(F247,H247,J247,L247,N247)</f>
        <v>144405780.03132263</v>
      </c>
      <c r="S247" s="133">
        <f t="shared" ref="S247:S258" si="70">P247</f>
        <v>0</v>
      </c>
      <c r="T247" s="77"/>
    </row>
    <row r="248" spans="1:20" s="11" customFormat="1" ht="14" customHeight="1">
      <c r="A248" s="77"/>
      <c r="B248" s="761"/>
      <c r="C248" s="142" t="s">
        <v>9</v>
      </c>
      <c r="D248" s="134" t="s">
        <v>7</v>
      </c>
      <c r="E248" s="471">
        <v>0</v>
      </c>
      <c r="F248" s="131">
        <v>0</v>
      </c>
      <c r="G248" s="131">
        <v>0</v>
      </c>
      <c r="H248" s="131">
        <v>0</v>
      </c>
      <c r="I248" s="131">
        <v>0</v>
      </c>
      <c r="J248" s="131">
        <v>0</v>
      </c>
      <c r="K248" s="131">
        <f>'Sankey conversion input'!E138</f>
        <v>139347.30160000001</v>
      </c>
      <c r="L248" s="131">
        <f>'Sankey conversion input'!D138</f>
        <v>139347.30160000001</v>
      </c>
      <c r="M248" s="131">
        <v>0</v>
      </c>
      <c r="N248" s="131">
        <v>0</v>
      </c>
      <c r="O248" s="131">
        <v>0</v>
      </c>
      <c r="P248" s="131">
        <v>0</v>
      </c>
      <c r="Q248" s="78">
        <f t="shared" si="68"/>
        <v>139347.30160000001</v>
      </c>
      <c r="R248" s="132">
        <f t="shared" si="69"/>
        <v>139347.30160000001</v>
      </c>
      <c r="S248" s="133">
        <f t="shared" si="70"/>
        <v>0</v>
      </c>
      <c r="T248" s="77"/>
    </row>
    <row r="249" spans="1:20" s="11" customFormat="1" ht="14" customHeight="1">
      <c r="A249" s="77"/>
      <c r="B249" s="761"/>
      <c r="C249" s="142" t="s">
        <v>9</v>
      </c>
      <c r="D249" s="135" t="s">
        <v>1</v>
      </c>
      <c r="E249" s="471">
        <v>0</v>
      </c>
      <c r="F249" s="131">
        <v>0</v>
      </c>
      <c r="G249" s="131">
        <v>0</v>
      </c>
      <c r="H249" s="131">
        <v>0</v>
      </c>
      <c r="I249" s="131">
        <v>0</v>
      </c>
      <c r="J249" s="131">
        <v>0</v>
      </c>
      <c r="K249" s="131">
        <f>'Sankey conversion input'!E139</f>
        <v>0</v>
      </c>
      <c r="L249" s="131">
        <f>'Sankey conversion input'!D139</f>
        <v>0</v>
      </c>
      <c r="M249" s="131">
        <v>0</v>
      </c>
      <c r="N249" s="131">
        <v>0</v>
      </c>
      <c r="O249" s="131">
        <v>0</v>
      </c>
      <c r="P249" s="131">
        <v>0</v>
      </c>
      <c r="Q249" s="78">
        <f t="shared" si="68"/>
        <v>0</v>
      </c>
      <c r="R249" s="132">
        <f t="shared" si="69"/>
        <v>0</v>
      </c>
      <c r="S249" s="133">
        <f t="shared" si="70"/>
        <v>0</v>
      </c>
      <c r="T249" s="77"/>
    </row>
    <row r="250" spans="1:20" s="11" customFormat="1" ht="14" customHeight="1">
      <c r="A250" s="77"/>
      <c r="B250" s="761"/>
      <c r="C250" s="144" t="s">
        <v>9</v>
      </c>
      <c r="D250" s="145" t="s">
        <v>13</v>
      </c>
      <c r="E250" s="472">
        <v>0</v>
      </c>
      <c r="F250" s="146">
        <v>0</v>
      </c>
      <c r="G250" s="146">
        <v>0</v>
      </c>
      <c r="H250" s="146">
        <v>0</v>
      </c>
      <c r="I250" s="146">
        <v>0</v>
      </c>
      <c r="J250" s="146">
        <v>0</v>
      </c>
      <c r="K250" s="146">
        <f>'Sankey conversion input'!E140</f>
        <v>0</v>
      </c>
      <c r="L250" s="146">
        <f>'Sankey conversion input'!D140</f>
        <v>0</v>
      </c>
      <c r="M250" s="146">
        <v>0</v>
      </c>
      <c r="N250" s="146">
        <v>0</v>
      </c>
      <c r="O250" s="146">
        <v>0</v>
      </c>
      <c r="P250" s="146">
        <v>0</v>
      </c>
      <c r="Q250" s="147">
        <f t="shared" si="68"/>
        <v>0</v>
      </c>
      <c r="R250" s="148">
        <f t="shared" si="69"/>
        <v>0</v>
      </c>
      <c r="S250" s="149">
        <f t="shared" si="70"/>
        <v>0</v>
      </c>
      <c r="T250" s="77"/>
    </row>
    <row r="251" spans="1:20" s="11" customFormat="1" ht="14" customHeight="1">
      <c r="A251" s="77"/>
      <c r="B251" s="761"/>
      <c r="C251" s="129" t="s">
        <v>8</v>
      </c>
      <c r="D251" s="130" t="s">
        <v>0</v>
      </c>
      <c r="E251" s="471">
        <f>SUMPRODUCT(Geothermal!C15:C19,Geothermal!L15:L19)</f>
        <v>45000</v>
      </c>
      <c r="F251" s="131">
        <f>SUMPRODUCT(Geothermal!O15:O19,Geothermal!X15:X19)</f>
        <v>45000</v>
      </c>
      <c r="G251" s="131">
        <v>0</v>
      </c>
      <c r="H251" s="131">
        <v>0</v>
      </c>
      <c r="I251" s="131">
        <v>0</v>
      </c>
      <c r="J251" s="131">
        <v>0</v>
      </c>
      <c r="K251" s="131">
        <f>'Sankey conversion input'!E133</f>
        <v>6226216.2786999997</v>
      </c>
      <c r="L251" s="131">
        <f>'Sankey conversion input'!D133</f>
        <v>6226216.2786999997</v>
      </c>
      <c r="M251" s="131">
        <v>0</v>
      </c>
      <c r="N251" s="131">
        <v>0</v>
      </c>
      <c r="O251" s="131">
        <v>0</v>
      </c>
      <c r="P251" s="131">
        <v>0</v>
      </c>
      <c r="Q251" s="78">
        <f t="shared" si="68"/>
        <v>6271216.2786999997</v>
      </c>
      <c r="R251" s="132">
        <f t="shared" si="69"/>
        <v>6271216.2786999997</v>
      </c>
      <c r="S251" s="133">
        <f t="shared" si="70"/>
        <v>0</v>
      </c>
      <c r="T251" s="77"/>
    </row>
    <row r="252" spans="1:20" s="11" customFormat="1" ht="14" customHeight="1">
      <c r="A252" s="77"/>
      <c r="B252" s="761"/>
      <c r="C252" s="129" t="s">
        <v>8</v>
      </c>
      <c r="D252" s="134" t="s">
        <v>7</v>
      </c>
      <c r="E252" s="471">
        <v>0</v>
      </c>
      <c r="F252" s="131">
        <v>0</v>
      </c>
      <c r="G252" s="131">
        <v>0</v>
      </c>
      <c r="H252" s="131">
        <v>0</v>
      </c>
      <c r="I252" s="131">
        <v>0</v>
      </c>
      <c r="J252" s="131">
        <v>0</v>
      </c>
      <c r="K252" s="131">
        <f>'Sankey conversion input'!E134</f>
        <v>0</v>
      </c>
      <c r="L252" s="131">
        <f>'Sankey conversion input'!D134</f>
        <v>0</v>
      </c>
      <c r="M252" s="131">
        <v>0</v>
      </c>
      <c r="N252" s="131">
        <v>0</v>
      </c>
      <c r="O252" s="131">
        <v>0</v>
      </c>
      <c r="P252" s="131">
        <v>0</v>
      </c>
      <c r="Q252" s="78">
        <f t="shared" si="68"/>
        <v>0</v>
      </c>
      <c r="R252" s="132">
        <f t="shared" si="69"/>
        <v>0</v>
      </c>
      <c r="S252" s="133">
        <f t="shared" si="70"/>
        <v>0</v>
      </c>
      <c r="T252" s="77"/>
    </row>
    <row r="253" spans="1:20" s="11" customFormat="1" ht="14" customHeight="1">
      <c r="A253" s="77"/>
      <c r="B253" s="761"/>
      <c r="C253" s="129" t="s">
        <v>8</v>
      </c>
      <c r="D253" s="135" t="s">
        <v>1</v>
      </c>
      <c r="E253" s="471">
        <v>0</v>
      </c>
      <c r="F253" s="131">
        <v>0</v>
      </c>
      <c r="G253" s="131">
        <v>0</v>
      </c>
      <c r="H253" s="131">
        <v>0</v>
      </c>
      <c r="I253" s="131">
        <v>0</v>
      </c>
      <c r="J253" s="131">
        <v>0</v>
      </c>
      <c r="K253" s="131">
        <f>'Sankey conversion input'!E135</f>
        <v>0</v>
      </c>
      <c r="L253" s="131">
        <f>'Sankey conversion input'!D135</f>
        <v>0</v>
      </c>
      <c r="M253" s="131">
        <v>0</v>
      </c>
      <c r="N253" s="131">
        <v>0</v>
      </c>
      <c r="O253" s="131">
        <v>0</v>
      </c>
      <c r="P253" s="131">
        <v>0</v>
      </c>
      <c r="Q253" s="78">
        <f t="shared" si="68"/>
        <v>0</v>
      </c>
      <c r="R253" s="132">
        <f t="shared" si="69"/>
        <v>0</v>
      </c>
      <c r="S253" s="133">
        <f t="shared" si="70"/>
        <v>0</v>
      </c>
      <c r="T253" s="77"/>
    </row>
    <row r="254" spans="1:20" s="11" customFormat="1" ht="14" customHeight="1">
      <c r="A254" s="77"/>
      <c r="B254" s="761"/>
      <c r="C254" s="136" t="s">
        <v>8</v>
      </c>
      <c r="D254" s="137" t="s">
        <v>13</v>
      </c>
      <c r="E254" s="473">
        <v>0</v>
      </c>
      <c r="F254" s="138">
        <v>0</v>
      </c>
      <c r="G254" s="138">
        <v>0</v>
      </c>
      <c r="H254" s="138">
        <v>0</v>
      </c>
      <c r="I254" s="138">
        <v>0</v>
      </c>
      <c r="J254" s="138">
        <v>0</v>
      </c>
      <c r="K254" s="138">
        <f>'Sankey conversion input'!E136</f>
        <v>0</v>
      </c>
      <c r="L254" s="138">
        <f>'Sankey conversion input'!D136</f>
        <v>0</v>
      </c>
      <c r="M254" s="138">
        <v>0</v>
      </c>
      <c r="N254" s="138">
        <v>0</v>
      </c>
      <c r="O254" s="138">
        <v>0</v>
      </c>
      <c r="P254" s="138">
        <v>0</v>
      </c>
      <c r="Q254" s="139">
        <f t="shared" si="68"/>
        <v>0</v>
      </c>
      <c r="R254" s="140">
        <f t="shared" si="69"/>
        <v>0</v>
      </c>
      <c r="S254" s="141">
        <f t="shared" si="70"/>
        <v>0</v>
      </c>
      <c r="T254" s="77"/>
    </row>
    <row r="255" spans="1:20" s="11" customFormat="1" ht="14" customHeight="1">
      <c r="A255" s="77"/>
      <c r="B255" s="761"/>
      <c r="C255" s="150" t="s">
        <v>10</v>
      </c>
      <c r="D255" s="143" t="s">
        <v>0</v>
      </c>
      <c r="E255" s="471">
        <f>SUMPRODUCT(Geothermal!C15:C19,Geothermal!M15:M19)</f>
        <v>17688985.280499998</v>
      </c>
      <c r="F255" s="131">
        <f>SUMPRODUCT(Geothermal!O15:O19,Geothermal!Y15:Y19)</f>
        <v>17688985.280499998</v>
      </c>
      <c r="G255" s="131">
        <v>0</v>
      </c>
      <c r="H255" s="131">
        <v>0</v>
      </c>
      <c r="I255" s="131">
        <v>0</v>
      </c>
      <c r="J255" s="131">
        <v>0</v>
      </c>
      <c r="K255" s="131">
        <f>'Sankey conversion input'!E141</f>
        <v>0</v>
      </c>
      <c r="L255" s="131">
        <f>'Sankey conversion input'!D141</f>
        <v>0</v>
      </c>
      <c r="M255" s="131">
        <v>0</v>
      </c>
      <c r="N255" s="131">
        <v>0</v>
      </c>
      <c r="O255" s="131">
        <v>0</v>
      </c>
      <c r="P255" s="131">
        <v>0</v>
      </c>
      <c r="Q255" s="78">
        <f t="shared" si="68"/>
        <v>17688985.280499998</v>
      </c>
      <c r="R255" s="132">
        <f t="shared" si="69"/>
        <v>17688985.280499998</v>
      </c>
      <c r="S255" s="133">
        <f t="shared" si="70"/>
        <v>0</v>
      </c>
      <c r="T255" s="77"/>
    </row>
    <row r="256" spans="1:20" s="11" customFormat="1" ht="14" customHeight="1">
      <c r="A256" s="77"/>
      <c r="B256" s="761"/>
      <c r="C256" s="150" t="s">
        <v>10</v>
      </c>
      <c r="D256" s="134" t="s">
        <v>7</v>
      </c>
      <c r="E256" s="471">
        <v>0</v>
      </c>
      <c r="F256" s="131">
        <v>0</v>
      </c>
      <c r="G256" s="131">
        <v>0</v>
      </c>
      <c r="H256" s="131">
        <v>0</v>
      </c>
      <c r="I256" s="131">
        <v>0</v>
      </c>
      <c r="J256" s="131">
        <v>0</v>
      </c>
      <c r="K256" s="131">
        <f>'Sankey conversion input'!E142</f>
        <v>0</v>
      </c>
      <c r="L256" s="131">
        <f>'Sankey conversion input'!D142</f>
        <v>0</v>
      </c>
      <c r="M256" s="131">
        <v>0</v>
      </c>
      <c r="N256" s="131">
        <v>0</v>
      </c>
      <c r="O256" s="131">
        <v>0</v>
      </c>
      <c r="P256" s="131">
        <v>0</v>
      </c>
      <c r="Q256" s="78">
        <f t="shared" si="68"/>
        <v>0</v>
      </c>
      <c r="R256" s="132">
        <f t="shared" si="69"/>
        <v>0</v>
      </c>
      <c r="S256" s="133">
        <f t="shared" si="70"/>
        <v>0</v>
      </c>
      <c r="T256" s="77"/>
    </row>
    <row r="257" spans="1:20" s="11" customFormat="1" ht="14" customHeight="1">
      <c r="A257" s="77"/>
      <c r="B257" s="761"/>
      <c r="C257" s="150" t="s">
        <v>10</v>
      </c>
      <c r="D257" s="135" t="s">
        <v>1</v>
      </c>
      <c r="E257" s="471">
        <v>0</v>
      </c>
      <c r="F257" s="131">
        <v>0</v>
      </c>
      <c r="G257" s="131">
        <v>0</v>
      </c>
      <c r="H257" s="151">
        <v>0</v>
      </c>
      <c r="I257" s="131">
        <v>0</v>
      </c>
      <c r="J257" s="131">
        <v>0</v>
      </c>
      <c r="K257" s="131">
        <f>'Sankey conversion input'!E143</f>
        <v>0</v>
      </c>
      <c r="L257" s="131">
        <f>'Sankey conversion input'!D143</f>
        <v>0</v>
      </c>
      <c r="M257" s="131">
        <v>0</v>
      </c>
      <c r="N257" s="131">
        <v>0</v>
      </c>
      <c r="O257" s="131">
        <v>0</v>
      </c>
      <c r="P257" s="131">
        <v>0</v>
      </c>
      <c r="Q257" s="78">
        <f t="shared" si="68"/>
        <v>0</v>
      </c>
      <c r="R257" s="132">
        <f t="shared" si="69"/>
        <v>0</v>
      </c>
      <c r="S257" s="133">
        <f t="shared" si="70"/>
        <v>0</v>
      </c>
      <c r="T257" s="77"/>
    </row>
    <row r="258" spans="1:20" s="11" customFormat="1" ht="14" customHeight="1" thickBot="1">
      <c r="A258" s="77"/>
      <c r="B258" s="761"/>
      <c r="C258" s="150" t="s">
        <v>10</v>
      </c>
      <c r="D258" s="166" t="s">
        <v>13</v>
      </c>
      <c r="E258" s="471">
        <v>0</v>
      </c>
      <c r="F258" s="131">
        <v>0</v>
      </c>
      <c r="G258" s="131">
        <v>0</v>
      </c>
      <c r="H258" s="131">
        <v>0</v>
      </c>
      <c r="I258" s="131">
        <v>0</v>
      </c>
      <c r="J258" s="131">
        <v>0</v>
      </c>
      <c r="K258" s="131">
        <f>'Sankey conversion input'!E144</f>
        <v>0</v>
      </c>
      <c r="L258" s="131">
        <f>'Sankey conversion input'!D144</f>
        <v>0</v>
      </c>
      <c r="M258" s="131">
        <v>0</v>
      </c>
      <c r="N258" s="131">
        <v>0</v>
      </c>
      <c r="O258" s="131">
        <v>0</v>
      </c>
      <c r="P258" s="131">
        <v>0</v>
      </c>
      <c r="Q258" s="78">
        <f t="shared" si="68"/>
        <v>0</v>
      </c>
      <c r="R258" s="132">
        <f t="shared" si="69"/>
        <v>0</v>
      </c>
      <c r="S258" s="133">
        <f t="shared" si="70"/>
        <v>0</v>
      </c>
      <c r="T258" s="77"/>
    </row>
    <row r="259" spans="1:20" s="75" customFormat="1" ht="30" customHeight="1" thickBot="1">
      <c r="A259" s="115"/>
      <c r="B259" s="806" t="s">
        <v>30</v>
      </c>
      <c r="C259" s="807"/>
      <c r="D259" s="807"/>
      <c r="E259" s="807"/>
      <c r="F259" s="807"/>
      <c r="G259" s="807"/>
      <c r="H259" s="807"/>
      <c r="I259" s="807"/>
      <c r="J259" s="807"/>
      <c r="K259" s="807"/>
      <c r="L259" s="807"/>
      <c r="M259" s="807"/>
      <c r="N259" s="807"/>
      <c r="O259" s="807"/>
      <c r="P259" s="807"/>
      <c r="Q259" s="807"/>
      <c r="R259" s="807"/>
      <c r="S259" s="808"/>
      <c r="T259" s="115"/>
    </row>
    <row r="260" spans="1:20" s="11" customFormat="1" ht="14" customHeight="1">
      <c r="A260" s="77"/>
      <c r="B260" s="761" t="s">
        <v>32</v>
      </c>
      <c r="C260" s="120"/>
      <c r="D260" s="156"/>
      <c r="E260" s="759" t="s">
        <v>591</v>
      </c>
      <c r="F260" s="760"/>
      <c r="G260" s="756" t="s">
        <v>66</v>
      </c>
      <c r="H260" s="756"/>
      <c r="I260" s="742" t="s">
        <v>67</v>
      </c>
      <c r="J260" s="742"/>
      <c r="K260" s="743" t="s">
        <v>68</v>
      </c>
      <c r="L260" s="743"/>
      <c r="M260" s="744" t="s">
        <v>69</v>
      </c>
      <c r="N260" s="744"/>
      <c r="O260" s="745" t="s">
        <v>413</v>
      </c>
      <c r="P260" s="745"/>
      <c r="Q260" s="121" t="s">
        <v>763</v>
      </c>
      <c r="R260" s="122" t="s">
        <v>763</v>
      </c>
      <c r="S260" s="123" t="s">
        <v>763</v>
      </c>
      <c r="T260" s="77"/>
    </row>
    <row r="261" spans="1:20" s="11" customFormat="1" ht="14" customHeight="1">
      <c r="A261" s="77"/>
      <c r="B261" s="761"/>
      <c r="C261" s="120"/>
      <c r="D261" s="156"/>
      <c r="E261" s="469" t="s">
        <v>209</v>
      </c>
      <c r="F261" s="414" t="s">
        <v>208</v>
      </c>
      <c r="G261" s="414" t="s">
        <v>209</v>
      </c>
      <c r="H261" s="414" t="s">
        <v>208</v>
      </c>
      <c r="I261" s="414" t="s">
        <v>209</v>
      </c>
      <c r="J261" s="414" t="s">
        <v>208</v>
      </c>
      <c r="K261" s="414" t="s">
        <v>209</v>
      </c>
      <c r="L261" s="414" t="s">
        <v>208</v>
      </c>
      <c r="M261" s="414" t="s">
        <v>209</v>
      </c>
      <c r="N261" s="414" t="s">
        <v>208</v>
      </c>
      <c r="O261" s="414" t="s">
        <v>209</v>
      </c>
      <c r="P261" s="414" t="s">
        <v>208</v>
      </c>
      <c r="Q261" s="121" t="s">
        <v>209</v>
      </c>
      <c r="R261" s="468" t="s">
        <v>208</v>
      </c>
      <c r="S261" s="123" t="s">
        <v>413</v>
      </c>
      <c r="T261" s="77"/>
    </row>
    <row r="262" spans="1:20" s="11" customFormat="1" ht="28" customHeight="1">
      <c r="A262" s="77"/>
      <c r="B262" s="761"/>
      <c r="C262" s="124" t="s">
        <v>761</v>
      </c>
      <c r="D262" s="125" t="s">
        <v>762</v>
      </c>
      <c r="E262" s="126">
        <f t="shared" ref="E262:S262" si="71">SUM(E263:E274)</f>
        <v>169190.55555555553</v>
      </c>
      <c r="F262" s="126">
        <f t="shared" si="71"/>
        <v>169190.55555555553</v>
      </c>
      <c r="G262" s="126">
        <f t="shared" si="71"/>
        <v>0</v>
      </c>
      <c r="H262" s="126">
        <f t="shared" si="71"/>
        <v>0</v>
      </c>
      <c r="I262" s="126">
        <f t="shared" si="71"/>
        <v>0</v>
      </c>
      <c r="J262" s="126">
        <f t="shared" si="71"/>
        <v>0</v>
      </c>
      <c r="K262" s="126">
        <f t="shared" si="71"/>
        <v>0</v>
      </c>
      <c r="L262" s="126">
        <f t="shared" si="71"/>
        <v>0</v>
      </c>
      <c r="M262" s="126">
        <f t="shared" si="71"/>
        <v>0</v>
      </c>
      <c r="N262" s="126">
        <f t="shared" si="71"/>
        <v>0</v>
      </c>
      <c r="O262" s="126">
        <f t="shared" si="71"/>
        <v>0</v>
      </c>
      <c r="P262" s="126">
        <f t="shared" si="71"/>
        <v>0</v>
      </c>
      <c r="Q262" s="79">
        <f t="shared" si="71"/>
        <v>169190.55555555553</v>
      </c>
      <c r="R262" s="127">
        <f t="shared" si="71"/>
        <v>169190.55555555553</v>
      </c>
      <c r="S262" s="128">
        <f t="shared" si="71"/>
        <v>0</v>
      </c>
      <c r="T262" s="77"/>
    </row>
    <row r="263" spans="1:20" s="11" customFormat="1" ht="14" customHeight="1">
      <c r="A263" s="77"/>
      <c r="B263" s="761"/>
      <c r="C263" s="142" t="s">
        <v>9</v>
      </c>
      <c r="D263" s="143" t="s">
        <v>0</v>
      </c>
      <c r="E263" s="470">
        <f>F263</f>
        <v>169190.55555555553</v>
      </c>
      <c r="F263" s="131">
        <f>(0.023/3.6)*'Energy data by fuel cycle'!$B$122*1000</f>
        <v>169190.55555555553</v>
      </c>
      <c r="G263" s="131">
        <v>0</v>
      </c>
      <c r="H263" s="131">
        <v>0</v>
      </c>
      <c r="I263" s="131">
        <v>0</v>
      </c>
      <c r="J263" s="131">
        <v>0</v>
      </c>
      <c r="K263" s="131">
        <v>0</v>
      </c>
      <c r="L263" s="131">
        <v>0</v>
      </c>
      <c r="M263" s="131">
        <v>0</v>
      </c>
      <c r="N263" s="131">
        <v>0</v>
      </c>
      <c r="O263" s="131">
        <v>0</v>
      </c>
      <c r="P263" s="131">
        <v>0</v>
      </c>
      <c r="Q263" s="78">
        <f t="shared" ref="Q263:Q274" si="72">SUM(E263,G263,I263,K263,M263)</f>
        <v>169190.55555555553</v>
      </c>
      <c r="R263" s="132">
        <f t="shared" ref="R263:R274" si="73">SUM(F263,H263,J263,L263,N263)</f>
        <v>169190.55555555553</v>
      </c>
      <c r="S263" s="133">
        <f t="shared" ref="S263:S274" si="74">P263</f>
        <v>0</v>
      </c>
      <c r="T263" s="77"/>
    </row>
    <row r="264" spans="1:20" s="11" customFormat="1" ht="14" customHeight="1">
      <c r="A264" s="77"/>
      <c r="B264" s="761"/>
      <c r="C264" s="142" t="s">
        <v>9</v>
      </c>
      <c r="D264" s="134" t="s">
        <v>7</v>
      </c>
      <c r="E264" s="471">
        <v>0</v>
      </c>
      <c r="F264" s="131">
        <v>0</v>
      </c>
      <c r="G264" s="131">
        <v>0</v>
      </c>
      <c r="H264" s="131">
        <v>0</v>
      </c>
      <c r="I264" s="131">
        <v>0</v>
      </c>
      <c r="J264" s="131">
        <v>0</v>
      </c>
      <c r="K264" s="131">
        <v>0</v>
      </c>
      <c r="L264" s="131">
        <v>0</v>
      </c>
      <c r="M264" s="131">
        <v>0</v>
      </c>
      <c r="N264" s="131">
        <v>0</v>
      </c>
      <c r="O264" s="131">
        <v>0</v>
      </c>
      <c r="P264" s="131">
        <v>0</v>
      </c>
      <c r="Q264" s="78">
        <f t="shared" si="72"/>
        <v>0</v>
      </c>
      <c r="R264" s="132">
        <f t="shared" si="73"/>
        <v>0</v>
      </c>
      <c r="S264" s="133">
        <f t="shared" si="74"/>
        <v>0</v>
      </c>
      <c r="T264" s="77"/>
    </row>
    <row r="265" spans="1:20" s="11" customFormat="1" ht="14" customHeight="1">
      <c r="A265" s="77"/>
      <c r="B265" s="761"/>
      <c r="C265" s="142" t="s">
        <v>9</v>
      </c>
      <c r="D265" s="135" t="s">
        <v>1</v>
      </c>
      <c r="E265" s="471">
        <v>0</v>
      </c>
      <c r="F265" s="131">
        <v>0</v>
      </c>
      <c r="G265" s="131">
        <v>0</v>
      </c>
      <c r="H265" s="131">
        <v>0</v>
      </c>
      <c r="I265" s="131">
        <v>0</v>
      </c>
      <c r="J265" s="131">
        <v>0</v>
      </c>
      <c r="K265" s="131">
        <v>0</v>
      </c>
      <c r="L265" s="131">
        <v>0</v>
      </c>
      <c r="M265" s="131">
        <v>0</v>
      </c>
      <c r="N265" s="131">
        <v>0</v>
      </c>
      <c r="O265" s="131">
        <v>0</v>
      </c>
      <c r="P265" s="131">
        <v>0</v>
      </c>
      <c r="Q265" s="78">
        <f t="shared" si="72"/>
        <v>0</v>
      </c>
      <c r="R265" s="132">
        <f t="shared" si="73"/>
        <v>0</v>
      </c>
      <c r="S265" s="133">
        <f t="shared" si="74"/>
        <v>0</v>
      </c>
      <c r="T265" s="77"/>
    </row>
    <row r="266" spans="1:20" s="11" customFormat="1" ht="14" customHeight="1">
      <c r="A266" s="77"/>
      <c r="B266" s="761"/>
      <c r="C266" s="144" t="s">
        <v>9</v>
      </c>
      <c r="D266" s="145" t="s">
        <v>13</v>
      </c>
      <c r="E266" s="472">
        <v>0</v>
      </c>
      <c r="F266" s="146">
        <v>0</v>
      </c>
      <c r="G266" s="146">
        <v>0</v>
      </c>
      <c r="H266" s="146">
        <v>0</v>
      </c>
      <c r="I266" s="146">
        <v>0</v>
      </c>
      <c r="J266" s="146">
        <v>0</v>
      </c>
      <c r="K266" s="146">
        <v>0</v>
      </c>
      <c r="L266" s="146">
        <v>0</v>
      </c>
      <c r="M266" s="146">
        <v>0</v>
      </c>
      <c r="N266" s="146">
        <v>0</v>
      </c>
      <c r="O266" s="146">
        <v>0</v>
      </c>
      <c r="P266" s="146">
        <v>0</v>
      </c>
      <c r="Q266" s="147">
        <f t="shared" si="72"/>
        <v>0</v>
      </c>
      <c r="R266" s="148">
        <f t="shared" si="73"/>
        <v>0</v>
      </c>
      <c r="S266" s="149">
        <f t="shared" si="74"/>
        <v>0</v>
      </c>
      <c r="T266" s="77"/>
    </row>
    <row r="267" spans="1:20" s="11" customFormat="1" ht="14" customHeight="1">
      <c r="A267" s="77"/>
      <c r="B267" s="761"/>
      <c r="C267" s="129" t="s">
        <v>8</v>
      </c>
      <c r="D267" s="130" t="s">
        <v>0</v>
      </c>
      <c r="E267" s="471">
        <v>0</v>
      </c>
      <c r="F267" s="131">
        <v>0</v>
      </c>
      <c r="G267" s="131">
        <v>0</v>
      </c>
      <c r="H267" s="131">
        <v>0</v>
      </c>
      <c r="I267" s="131">
        <v>0</v>
      </c>
      <c r="J267" s="131">
        <v>0</v>
      </c>
      <c r="K267" s="131">
        <v>0</v>
      </c>
      <c r="L267" s="131">
        <v>0</v>
      </c>
      <c r="M267" s="131">
        <v>0</v>
      </c>
      <c r="N267" s="131">
        <v>0</v>
      </c>
      <c r="O267" s="131">
        <v>0</v>
      </c>
      <c r="P267" s="131">
        <v>0</v>
      </c>
      <c r="Q267" s="78">
        <f t="shared" si="72"/>
        <v>0</v>
      </c>
      <c r="R267" s="132">
        <f t="shared" si="73"/>
        <v>0</v>
      </c>
      <c r="S267" s="133">
        <f t="shared" si="74"/>
        <v>0</v>
      </c>
      <c r="T267" s="77"/>
    </row>
    <row r="268" spans="1:20" s="11" customFormat="1" ht="14" customHeight="1">
      <c r="A268" s="77"/>
      <c r="B268" s="761"/>
      <c r="C268" s="129" t="s">
        <v>8</v>
      </c>
      <c r="D268" s="134" t="s">
        <v>7</v>
      </c>
      <c r="E268" s="471">
        <v>0</v>
      </c>
      <c r="F268" s="131">
        <v>0</v>
      </c>
      <c r="G268" s="131">
        <v>0</v>
      </c>
      <c r="H268" s="131">
        <v>0</v>
      </c>
      <c r="I268" s="131">
        <v>0</v>
      </c>
      <c r="J268" s="131">
        <v>0</v>
      </c>
      <c r="K268" s="131">
        <v>0</v>
      </c>
      <c r="L268" s="131">
        <v>0</v>
      </c>
      <c r="M268" s="131">
        <v>0</v>
      </c>
      <c r="N268" s="131">
        <v>0</v>
      </c>
      <c r="O268" s="131">
        <v>0</v>
      </c>
      <c r="P268" s="131">
        <v>0</v>
      </c>
      <c r="Q268" s="78">
        <f t="shared" si="72"/>
        <v>0</v>
      </c>
      <c r="R268" s="132">
        <f t="shared" si="73"/>
        <v>0</v>
      </c>
      <c r="S268" s="133">
        <f t="shared" si="74"/>
        <v>0</v>
      </c>
      <c r="T268" s="77"/>
    </row>
    <row r="269" spans="1:20" s="11" customFormat="1" ht="14" customHeight="1">
      <c r="A269" s="77"/>
      <c r="B269" s="761"/>
      <c r="C269" s="129" t="s">
        <v>8</v>
      </c>
      <c r="D269" s="135" t="s">
        <v>1</v>
      </c>
      <c r="E269" s="471">
        <v>0</v>
      </c>
      <c r="F269" s="131">
        <v>0</v>
      </c>
      <c r="G269" s="131">
        <v>0</v>
      </c>
      <c r="H269" s="131">
        <v>0</v>
      </c>
      <c r="I269" s="131">
        <v>0</v>
      </c>
      <c r="J269" s="131">
        <v>0</v>
      </c>
      <c r="K269" s="131">
        <v>0</v>
      </c>
      <c r="L269" s="131">
        <v>0</v>
      </c>
      <c r="M269" s="131">
        <v>0</v>
      </c>
      <c r="N269" s="131">
        <v>0</v>
      </c>
      <c r="O269" s="131">
        <v>0</v>
      </c>
      <c r="P269" s="131">
        <v>0</v>
      </c>
      <c r="Q269" s="78">
        <f t="shared" si="72"/>
        <v>0</v>
      </c>
      <c r="R269" s="132">
        <f t="shared" si="73"/>
        <v>0</v>
      </c>
      <c r="S269" s="133">
        <f t="shared" si="74"/>
        <v>0</v>
      </c>
      <c r="T269" s="77"/>
    </row>
    <row r="270" spans="1:20" s="11" customFormat="1" ht="14" customHeight="1">
      <c r="A270" s="77"/>
      <c r="B270" s="761"/>
      <c r="C270" s="136" t="s">
        <v>8</v>
      </c>
      <c r="D270" s="137" t="s">
        <v>13</v>
      </c>
      <c r="E270" s="473">
        <v>0</v>
      </c>
      <c r="F270" s="138">
        <v>0</v>
      </c>
      <c r="G270" s="138">
        <v>0</v>
      </c>
      <c r="H270" s="138">
        <v>0</v>
      </c>
      <c r="I270" s="138">
        <v>0</v>
      </c>
      <c r="J270" s="138">
        <v>0</v>
      </c>
      <c r="K270" s="138">
        <v>0</v>
      </c>
      <c r="L270" s="138">
        <v>0</v>
      </c>
      <c r="M270" s="138">
        <v>0</v>
      </c>
      <c r="N270" s="138">
        <v>0</v>
      </c>
      <c r="O270" s="138">
        <v>0</v>
      </c>
      <c r="P270" s="138">
        <v>0</v>
      </c>
      <c r="Q270" s="139">
        <f t="shared" si="72"/>
        <v>0</v>
      </c>
      <c r="R270" s="140">
        <f t="shared" si="73"/>
        <v>0</v>
      </c>
      <c r="S270" s="141">
        <f t="shared" si="74"/>
        <v>0</v>
      </c>
      <c r="T270" s="77"/>
    </row>
    <row r="271" spans="1:20" s="11" customFormat="1" ht="14" customHeight="1">
      <c r="A271" s="77"/>
      <c r="B271" s="761"/>
      <c r="C271" s="150" t="s">
        <v>10</v>
      </c>
      <c r="D271" s="143" t="s">
        <v>0</v>
      </c>
      <c r="E271" s="471">
        <v>0</v>
      </c>
      <c r="F271" s="131">
        <v>0</v>
      </c>
      <c r="G271" s="131">
        <v>0</v>
      </c>
      <c r="H271" s="131">
        <v>0</v>
      </c>
      <c r="I271" s="131">
        <v>0</v>
      </c>
      <c r="J271" s="131">
        <v>0</v>
      </c>
      <c r="K271" s="131">
        <v>0</v>
      </c>
      <c r="L271" s="131">
        <v>0</v>
      </c>
      <c r="M271" s="131">
        <v>0</v>
      </c>
      <c r="N271" s="131">
        <v>0</v>
      </c>
      <c r="O271" s="131">
        <v>0</v>
      </c>
      <c r="P271" s="131">
        <v>0</v>
      </c>
      <c r="Q271" s="78">
        <f t="shared" si="72"/>
        <v>0</v>
      </c>
      <c r="R271" s="132">
        <f t="shared" si="73"/>
        <v>0</v>
      </c>
      <c r="S271" s="133">
        <f t="shared" si="74"/>
        <v>0</v>
      </c>
      <c r="T271" s="77"/>
    </row>
    <row r="272" spans="1:20" s="11" customFormat="1" ht="14" customHeight="1">
      <c r="A272" s="77"/>
      <c r="B272" s="761"/>
      <c r="C272" s="150" t="s">
        <v>10</v>
      </c>
      <c r="D272" s="134" t="s">
        <v>7</v>
      </c>
      <c r="E272" s="471">
        <v>0</v>
      </c>
      <c r="F272" s="131">
        <v>0</v>
      </c>
      <c r="G272" s="131">
        <v>0</v>
      </c>
      <c r="H272" s="131">
        <v>0</v>
      </c>
      <c r="I272" s="131">
        <v>0</v>
      </c>
      <c r="J272" s="131">
        <v>0</v>
      </c>
      <c r="K272" s="131">
        <v>0</v>
      </c>
      <c r="L272" s="131">
        <v>0</v>
      </c>
      <c r="M272" s="131">
        <v>0</v>
      </c>
      <c r="N272" s="131">
        <v>0</v>
      </c>
      <c r="O272" s="131">
        <v>0</v>
      </c>
      <c r="P272" s="131">
        <v>0</v>
      </c>
      <c r="Q272" s="78">
        <f t="shared" si="72"/>
        <v>0</v>
      </c>
      <c r="R272" s="132">
        <f t="shared" si="73"/>
        <v>0</v>
      </c>
      <c r="S272" s="133">
        <f t="shared" si="74"/>
        <v>0</v>
      </c>
      <c r="T272" s="77"/>
    </row>
    <row r="273" spans="1:20" s="11" customFormat="1" ht="14" customHeight="1">
      <c r="A273" s="77"/>
      <c r="B273" s="761"/>
      <c r="C273" s="150" t="s">
        <v>10</v>
      </c>
      <c r="D273" s="135" t="s">
        <v>1</v>
      </c>
      <c r="E273" s="471">
        <v>0</v>
      </c>
      <c r="F273" s="131">
        <v>0</v>
      </c>
      <c r="G273" s="131">
        <v>0</v>
      </c>
      <c r="H273" s="151">
        <v>0</v>
      </c>
      <c r="I273" s="131">
        <v>0</v>
      </c>
      <c r="J273" s="131">
        <v>0</v>
      </c>
      <c r="K273" s="131">
        <v>0</v>
      </c>
      <c r="L273" s="131">
        <v>0</v>
      </c>
      <c r="M273" s="131">
        <v>0</v>
      </c>
      <c r="N273" s="131">
        <v>0</v>
      </c>
      <c r="O273" s="131">
        <v>0</v>
      </c>
      <c r="P273" s="131">
        <v>0</v>
      </c>
      <c r="Q273" s="78">
        <f t="shared" si="72"/>
        <v>0</v>
      </c>
      <c r="R273" s="132">
        <f t="shared" si="73"/>
        <v>0</v>
      </c>
      <c r="S273" s="133">
        <f t="shared" si="74"/>
        <v>0</v>
      </c>
      <c r="T273" s="77"/>
    </row>
    <row r="274" spans="1:20" s="11" customFormat="1" ht="14" customHeight="1" thickBot="1">
      <c r="A274" s="77"/>
      <c r="B274" s="761"/>
      <c r="C274" s="150" t="s">
        <v>10</v>
      </c>
      <c r="D274" s="166" t="s">
        <v>13</v>
      </c>
      <c r="E274" s="471">
        <v>0</v>
      </c>
      <c r="F274" s="131">
        <v>0</v>
      </c>
      <c r="G274" s="131">
        <v>0</v>
      </c>
      <c r="H274" s="131">
        <v>0</v>
      </c>
      <c r="I274" s="131">
        <v>0</v>
      </c>
      <c r="J274" s="131">
        <v>0</v>
      </c>
      <c r="K274" s="131">
        <v>0</v>
      </c>
      <c r="L274" s="131">
        <v>0</v>
      </c>
      <c r="M274" s="131">
        <v>0</v>
      </c>
      <c r="N274" s="131">
        <v>0</v>
      </c>
      <c r="O274" s="131">
        <v>0</v>
      </c>
      <c r="P274" s="131">
        <v>0</v>
      </c>
      <c r="Q274" s="78">
        <f t="shared" si="72"/>
        <v>0</v>
      </c>
      <c r="R274" s="132">
        <f t="shared" si="73"/>
        <v>0</v>
      </c>
      <c r="S274" s="133">
        <f t="shared" si="74"/>
        <v>0</v>
      </c>
      <c r="T274" s="77"/>
    </row>
    <row r="275" spans="1:20" s="75" customFormat="1" ht="30" customHeight="1" thickBot="1">
      <c r="A275" s="115"/>
      <c r="B275" s="809" t="s">
        <v>31</v>
      </c>
      <c r="C275" s="810"/>
      <c r="D275" s="810"/>
      <c r="E275" s="810"/>
      <c r="F275" s="810"/>
      <c r="G275" s="810"/>
      <c r="H275" s="810"/>
      <c r="I275" s="810"/>
      <c r="J275" s="810"/>
      <c r="K275" s="810"/>
      <c r="L275" s="810"/>
      <c r="M275" s="810"/>
      <c r="N275" s="810"/>
      <c r="O275" s="810"/>
      <c r="P275" s="810"/>
      <c r="Q275" s="810"/>
      <c r="R275" s="810"/>
      <c r="S275" s="811"/>
      <c r="T275" s="115"/>
    </row>
    <row r="276" spans="1:20" s="11" customFormat="1" ht="14" customHeight="1">
      <c r="A276" s="77"/>
      <c r="B276" s="761" t="s">
        <v>32</v>
      </c>
      <c r="C276" s="120"/>
      <c r="D276" s="156"/>
      <c r="E276" s="759" t="s">
        <v>591</v>
      </c>
      <c r="F276" s="760"/>
      <c r="G276" s="756" t="s">
        <v>66</v>
      </c>
      <c r="H276" s="756"/>
      <c r="I276" s="742" t="s">
        <v>67</v>
      </c>
      <c r="J276" s="742"/>
      <c r="K276" s="743" t="s">
        <v>68</v>
      </c>
      <c r="L276" s="743"/>
      <c r="M276" s="744" t="s">
        <v>69</v>
      </c>
      <c r="N276" s="744"/>
      <c r="O276" s="745" t="s">
        <v>413</v>
      </c>
      <c r="P276" s="745"/>
      <c r="Q276" s="121" t="s">
        <v>763</v>
      </c>
      <c r="R276" s="122" t="s">
        <v>763</v>
      </c>
      <c r="S276" s="123" t="s">
        <v>763</v>
      </c>
      <c r="T276" s="77"/>
    </row>
    <row r="277" spans="1:20" s="11" customFormat="1" ht="14" customHeight="1">
      <c r="A277" s="77"/>
      <c r="B277" s="761"/>
      <c r="C277" s="120"/>
      <c r="D277" s="156"/>
      <c r="E277" s="469" t="s">
        <v>209</v>
      </c>
      <c r="F277" s="414" t="s">
        <v>208</v>
      </c>
      <c r="G277" s="414" t="s">
        <v>209</v>
      </c>
      <c r="H277" s="414" t="s">
        <v>208</v>
      </c>
      <c r="I277" s="414" t="s">
        <v>209</v>
      </c>
      <c r="J277" s="414" t="s">
        <v>208</v>
      </c>
      <c r="K277" s="414" t="s">
        <v>209</v>
      </c>
      <c r="L277" s="414" t="s">
        <v>208</v>
      </c>
      <c r="M277" s="414" t="s">
        <v>209</v>
      </c>
      <c r="N277" s="414" t="s">
        <v>208</v>
      </c>
      <c r="O277" s="414" t="s">
        <v>209</v>
      </c>
      <c r="P277" s="414" t="s">
        <v>208</v>
      </c>
      <c r="Q277" s="121" t="s">
        <v>209</v>
      </c>
      <c r="R277" s="468" t="s">
        <v>208</v>
      </c>
      <c r="S277" s="123" t="s">
        <v>413</v>
      </c>
      <c r="T277" s="77"/>
    </row>
    <row r="278" spans="1:20" s="11" customFormat="1" ht="28" customHeight="1">
      <c r="A278" s="77"/>
      <c r="B278" s="761"/>
      <c r="C278" s="124" t="s">
        <v>761</v>
      </c>
      <c r="D278" s="125" t="s">
        <v>762</v>
      </c>
      <c r="E278" s="126">
        <f t="shared" ref="E278:S278" si="75">SUM(E279:E290)</f>
        <v>175752</v>
      </c>
      <c r="F278" s="126">
        <f t="shared" si="75"/>
        <v>175752</v>
      </c>
      <c r="G278" s="126">
        <f t="shared" si="75"/>
        <v>0</v>
      </c>
      <c r="H278" s="126">
        <f t="shared" si="75"/>
        <v>0</v>
      </c>
      <c r="I278" s="126">
        <f t="shared" si="75"/>
        <v>0</v>
      </c>
      <c r="J278" s="126">
        <f t="shared" si="75"/>
        <v>0</v>
      </c>
      <c r="K278" s="126">
        <f t="shared" si="75"/>
        <v>8054850.8163088858</v>
      </c>
      <c r="L278" s="126">
        <f t="shared" si="75"/>
        <v>13564665.870376095</v>
      </c>
      <c r="M278" s="126">
        <f t="shared" si="75"/>
        <v>0</v>
      </c>
      <c r="N278" s="126">
        <f t="shared" si="75"/>
        <v>0</v>
      </c>
      <c r="O278" s="126">
        <f t="shared" si="75"/>
        <v>0</v>
      </c>
      <c r="P278" s="126">
        <f t="shared" si="75"/>
        <v>0</v>
      </c>
      <c r="Q278" s="79">
        <f t="shared" si="75"/>
        <v>8230602.8163088858</v>
      </c>
      <c r="R278" s="127">
        <f t="shared" si="75"/>
        <v>13740417.870376095</v>
      </c>
      <c r="S278" s="128">
        <f t="shared" si="75"/>
        <v>0</v>
      </c>
      <c r="T278" s="77"/>
    </row>
    <row r="279" spans="1:20" s="11" customFormat="1" ht="14" customHeight="1">
      <c r="A279" s="77"/>
      <c r="B279" s="761"/>
      <c r="C279" s="142" t="s">
        <v>9</v>
      </c>
      <c r="D279" s="143" t="s">
        <v>0</v>
      </c>
      <c r="E279" s="470">
        <f>F279</f>
        <v>175752</v>
      </c>
      <c r="F279" s="131">
        <f>0.02*'Energy data by fuel cycle'!B123*GJ.per.GWh</f>
        <v>175752</v>
      </c>
      <c r="G279" s="131">
        <v>0</v>
      </c>
      <c r="H279" s="131">
        <v>0</v>
      </c>
      <c r="I279" s="131">
        <v>0</v>
      </c>
      <c r="J279" s="131">
        <v>0</v>
      </c>
      <c r="K279" s="131">
        <f>'Sankey conversion input'!E151</f>
        <v>5678798.1037323698</v>
      </c>
      <c r="L279" s="131">
        <f>'Sankey conversion input'!D151</f>
        <v>5696018.8044666667</v>
      </c>
      <c r="M279" s="131">
        <v>0</v>
      </c>
      <c r="N279" s="131">
        <v>0</v>
      </c>
      <c r="O279" s="131">
        <v>0</v>
      </c>
      <c r="P279" s="131">
        <v>0</v>
      </c>
      <c r="Q279" s="78">
        <f t="shared" ref="Q279:Q290" si="76">SUM(E279,G279,I279,K279,M279)</f>
        <v>5854550.1037323698</v>
      </c>
      <c r="R279" s="132">
        <f t="shared" ref="R279:R290" si="77">SUM(F279,H279,J279,L279,N279)</f>
        <v>5871770.8044666667</v>
      </c>
      <c r="S279" s="133">
        <f t="shared" ref="S279:S290" si="78">P279</f>
        <v>0</v>
      </c>
      <c r="T279" s="77"/>
    </row>
    <row r="280" spans="1:20" s="11" customFormat="1" ht="14" customHeight="1">
      <c r="A280" s="77"/>
      <c r="B280" s="761"/>
      <c r="C280" s="142" t="s">
        <v>9</v>
      </c>
      <c r="D280" s="134" t="s">
        <v>7</v>
      </c>
      <c r="E280" s="471">
        <v>0</v>
      </c>
      <c r="F280" s="131">
        <v>0</v>
      </c>
      <c r="G280" s="131">
        <v>0</v>
      </c>
      <c r="H280" s="131">
        <v>0</v>
      </c>
      <c r="I280" s="131">
        <v>0</v>
      </c>
      <c r="J280" s="131">
        <v>0</v>
      </c>
      <c r="K280" s="131">
        <f>'Sankey conversion input'!E152</f>
        <v>205546.40782321995</v>
      </c>
      <c r="L280" s="131">
        <f>'Sankey conversion input'!D152</f>
        <v>205546.40782321995</v>
      </c>
      <c r="M280" s="131">
        <v>0</v>
      </c>
      <c r="N280" s="131">
        <v>0</v>
      </c>
      <c r="O280" s="131">
        <v>0</v>
      </c>
      <c r="P280" s="131">
        <v>0</v>
      </c>
      <c r="Q280" s="78">
        <f t="shared" si="76"/>
        <v>205546.40782321995</v>
      </c>
      <c r="R280" s="132">
        <f t="shared" si="77"/>
        <v>205546.40782321995</v>
      </c>
      <c r="S280" s="133">
        <f t="shared" si="78"/>
        <v>0</v>
      </c>
      <c r="T280" s="77"/>
    </row>
    <row r="281" spans="1:20" s="11" customFormat="1" ht="14" customHeight="1">
      <c r="A281" s="77"/>
      <c r="B281" s="761"/>
      <c r="C281" s="142" t="s">
        <v>9</v>
      </c>
      <c r="D281" s="135" t="s">
        <v>1</v>
      </c>
      <c r="E281" s="471">
        <v>0</v>
      </c>
      <c r="F281" s="131">
        <v>0</v>
      </c>
      <c r="G281" s="131">
        <v>0</v>
      </c>
      <c r="H281" s="131">
        <v>0</v>
      </c>
      <c r="I281" s="131">
        <v>0</v>
      </c>
      <c r="J281" s="131">
        <v>0</v>
      </c>
      <c r="K281" s="131">
        <f>'Sankey conversion input'!E153</f>
        <v>0</v>
      </c>
      <c r="L281" s="131">
        <f>'Sankey conversion input'!D153</f>
        <v>0</v>
      </c>
      <c r="M281" s="131">
        <v>0</v>
      </c>
      <c r="N281" s="131">
        <v>0</v>
      </c>
      <c r="O281" s="131">
        <v>0</v>
      </c>
      <c r="P281" s="131">
        <v>0</v>
      </c>
      <c r="Q281" s="78">
        <f t="shared" si="76"/>
        <v>0</v>
      </c>
      <c r="R281" s="132">
        <f t="shared" si="77"/>
        <v>0</v>
      </c>
      <c r="S281" s="133">
        <f t="shared" si="78"/>
        <v>0</v>
      </c>
      <c r="T281" s="77"/>
    </row>
    <row r="282" spans="1:20" s="11" customFormat="1" ht="14" customHeight="1">
      <c r="A282" s="77"/>
      <c r="B282" s="761"/>
      <c r="C282" s="144" t="s">
        <v>9</v>
      </c>
      <c r="D282" s="145" t="s">
        <v>13</v>
      </c>
      <c r="E282" s="472">
        <v>0</v>
      </c>
      <c r="F282" s="146">
        <v>0</v>
      </c>
      <c r="G282" s="146">
        <v>0</v>
      </c>
      <c r="H282" s="146">
        <v>0</v>
      </c>
      <c r="I282" s="146">
        <v>0</v>
      </c>
      <c r="J282" s="146">
        <v>0</v>
      </c>
      <c r="K282" s="146">
        <f>'Sankey conversion input'!E154</f>
        <v>0</v>
      </c>
      <c r="L282" s="146">
        <f>'Sankey conversion input'!D154</f>
        <v>0</v>
      </c>
      <c r="M282" s="146">
        <v>0</v>
      </c>
      <c r="N282" s="146">
        <v>0</v>
      </c>
      <c r="O282" s="146">
        <v>0</v>
      </c>
      <c r="P282" s="146">
        <v>0</v>
      </c>
      <c r="Q282" s="147">
        <f t="shared" si="76"/>
        <v>0</v>
      </c>
      <c r="R282" s="148">
        <f t="shared" si="77"/>
        <v>0</v>
      </c>
      <c r="S282" s="149">
        <f t="shared" si="78"/>
        <v>0</v>
      </c>
      <c r="T282" s="77"/>
    </row>
    <row r="283" spans="1:20" s="11" customFormat="1" ht="14" customHeight="1">
      <c r="A283" s="77"/>
      <c r="B283" s="761"/>
      <c r="C283" s="129" t="s">
        <v>8</v>
      </c>
      <c r="D283" s="130" t="s">
        <v>0</v>
      </c>
      <c r="E283" s="471">
        <v>0</v>
      </c>
      <c r="F283" s="131">
        <v>0</v>
      </c>
      <c r="G283" s="131">
        <v>0</v>
      </c>
      <c r="H283" s="131">
        <v>0</v>
      </c>
      <c r="I283" s="131">
        <v>0</v>
      </c>
      <c r="J283" s="131">
        <v>0</v>
      </c>
      <c r="K283" s="131">
        <f>'Sankey conversion input'!E147</f>
        <v>2170506.3047532965</v>
      </c>
      <c r="L283" s="131">
        <f>'Sankey conversion input'!D147</f>
        <v>7663100.6580862086</v>
      </c>
      <c r="M283" s="131">
        <v>0</v>
      </c>
      <c r="N283" s="131">
        <v>0</v>
      </c>
      <c r="O283" s="131">
        <v>0</v>
      </c>
      <c r="P283" s="131">
        <v>0</v>
      </c>
      <c r="Q283" s="78">
        <f t="shared" si="76"/>
        <v>2170506.3047532965</v>
      </c>
      <c r="R283" s="132">
        <f t="shared" si="77"/>
        <v>7663100.6580862086</v>
      </c>
      <c r="S283" s="133">
        <f t="shared" si="78"/>
        <v>0</v>
      </c>
      <c r="T283" s="77"/>
    </row>
    <row r="284" spans="1:20" s="11" customFormat="1" ht="14" customHeight="1">
      <c r="A284" s="77"/>
      <c r="B284" s="761"/>
      <c r="C284" s="129" t="s">
        <v>8</v>
      </c>
      <c r="D284" s="134" t="s">
        <v>7</v>
      </c>
      <c r="E284" s="471">
        <v>0</v>
      </c>
      <c r="F284" s="131">
        <v>0</v>
      </c>
      <c r="G284" s="131">
        <v>0</v>
      </c>
      <c r="H284" s="131">
        <v>0</v>
      </c>
      <c r="I284" s="131">
        <v>0</v>
      </c>
      <c r="J284" s="131">
        <v>0</v>
      </c>
      <c r="K284" s="131">
        <f>'Sankey conversion input'!E148</f>
        <v>0</v>
      </c>
      <c r="L284" s="131">
        <f>'Sankey conversion input'!D148</f>
        <v>0</v>
      </c>
      <c r="M284" s="131">
        <v>0</v>
      </c>
      <c r="N284" s="131">
        <v>0</v>
      </c>
      <c r="O284" s="131">
        <v>0</v>
      </c>
      <c r="P284" s="131">
        <v>0</v>
      </c>
      <c r="Q284" s="78">
        <f t="shared" si="76"/>
        <v>0</v>
      </c>
      <c r="R284" s="132">
        <f t="shared" si="77"/>
        <v>0</v>
      </c>
      <c r="S284" s="133">
        <f t="shared" si="78"/>
        <v>0</v>
      </c>
      <c r="T284" s="77"/>
    </row>
    <row r="285" spans="1:20" s="11" customFormat="1" ht="14" customHeight="1">
      <c r="A285" s="77"/>
      <c r="B285" s="761"/>
      <c r="C285" s="129" t="s">
        <v>8</v>
      </c>
      <c r="D285" s="135" t="s">
        <v>1</v>
      </c>
      <c r="E285" s="471">
        <v>0</v>
      </c>
      <c r="F285" s="131">
        <v>0</v>
      </c>
      <c r="G285" s="131">
        <v>0</v>
      </c>
      <c r="H285" s="131">
        <v>0</v>
      </c>
      <c r="I285" s="131">
        <v>0</v>
      </c>
      <c r="J285" s="131">
        <v>0</v>
      </c>
      <c r="K285" s="131">
        <f>'Sankey conversion input'!E149</f>
        <v>0</v>
      </c>
      <c r="L285" s="131">
        <f>'Sankey conversion input'!D149</f>
        <v>0</v>
      </c>
      <c r="M285" s="131">
        <v>0</v>
      </c>
      <c r="N285" s="131">
        <v>0</v>
      </c>
      <c r="O285" s="131">
        <v>0</v>
      </c>
      <c r="P285" s="131">
        <v>0</v>
      </c>
      <c r="Q285" s="78">
        <f t="shared" si="76"/>
        <v>0</v>
      </c>
      <c r="R285" s="132">
        <f t="shared" si="77"/>
        <v>0</v>
      </c>
      <c r="S285" s="133">
        <f t="shared" si="78"/>
        <v>0</v>
      </c>
      <c r="T285" s="77"/>
    </row>
    <row r="286" spans="1:20" s="11" customFormat="1" ht="14" customHeight="1">
      <c r="A286" s="77"/>
      <c r="B286" s="761"/>
      <c r="C286" s="167" t="s">
        <v>8</v>
      </c>
      <c r="D286" s="168" t="s">
        <v>13</v>
      </c>
      <c r="E286" s="473">
        <v>0</v>
      </c>
      <c r="F286" s="138">
        <v>0</v>
      </c>
      <c r="G286" s="138">
        <v>0</v>
      </c>
      <c r="H286" s="138">
        <v>0</v>
      </c>
      <c r="I286" s="138">
        <v>0</v>
      </c>
      <c r="J286" s="138">
        <v>0</v>
      </c>
      <c r="K286" s="138">
        <f>'Sankey conversion input'!E150</f>
        <v>0</v>
      </c>
      <c r="L286" s="138">
        <f>'Sankey conversion input'!D150</f>
        <v>0</v>
      </c>
      <c r="M286" s="138">
        <v>0</v>
      </c>
      <c r="N286" s="138">
        <v>0</v>
      </c>
      <c r="O286" s="138">
        <v>0</v>
      </c>
      <c r="P286" s="138">
        <v>0</v>
      </c>
      <c r="Q286" s="139">
        <f t="shared" si="76"/>
        <v>0</v>
      </c>
      <c r="R286" s="140">
        <f t="shared" si="77"/>
        <v>0</v>
      </c>
      <c r="S286" s="141">
        <f t="shared" si="78"/>
        <v>0</v>
      </c>
      <c r="T286" s="77"/>
    </row>
    <row r="287" spans="1:20" s="11" customFormat="1" ht="14" customHeight="1">
      <c r="A287" s="77"/>
      <c r="B287" s="761"/>
      <c r="C287" s="150" t="s">
        <v>10</v>
      </c>
      <c r="D287" s="143" t="s">
        <v>0</v>
      </c>
      <c r="E287" s="471">
        <v>0</v>
      </c>
      <c r="F287" s="131">
        <v>0</v>
      </c>
      <c r="G287" s="131">
        <v>0</v>
      </c>
      <c r="H287" s="131">
        <v>0</v>
      </c>
      <c r="I287" s="131">
        <v>0</v>
      </c>
      <c r="J287" s="131">
        <v>0</v>
      </c>
      <c r="K287" s="131">
        <f>'Sankey conversion input'!E155</f>
        <v>0</v>
      </c>
      <c r="L287" s="131">
        <f>'Sankey conversion input'!D155</f>
        <v>0</v>
      </c>
      <c r="M287" s="131">
        <v>0</v>
      </c>
      <c r="N287" s="131">
        <v>0</v>
      </c>
      <c r="O287" s="131">
        <v>0</v>
      </c>
      <c r="P287" s="131">
        <v>0</v>
      </c>
      <c r="Q287" s="78">
        <f t="shared" si="76"/>
        <v>0</v>
      </c>
      <c r="R287" s="132">
        <f t="shared" si="77"/>
        <v>0</v>
      </c>
      <c r="S287" s="133">
        <f t="shared" si="78"/>
        <v>0</v>
      </c>
      <c r="T287" s="77"/>
    </row>
    <row r="288" spans="1:20" s="11" customFormat="1" ht="14" customHeight="1">
      <c r="A288" s="77"/>
      <c r="B288" s="761"/>
      <c r="C288" s="150" t="s">
        <v>10</v>
      </c>
      <c r="D288" s="134" t="s">
        <v>7</v>
      </c>
      <c r="E288" s="471">
        <v>0</v>
      </c>
      <c r="F288" s="131">
        <v>0</v>
      </c>
      <c r="G288" s="131">
        <v>0</v>
      </c>
      <c r="H288" s="131">
        <v>0</v>
      </c>
      <c r="I288" s="131">
        <v>0</v>
      </c>
      <c r="J288" s="131">
        <v>0</v>
      </c>
      <c r="K288" s="131">
        <f>'Sankey conversion input'!E156</f>
        <v>0</v>
      </c>
      <c r="L288" s="131">
        <f>'Sankey conversion input'!D156</f>
        <v>0</v>
      </c>
      <c r="M288" s="131">
        <v>0</v>
      </c>
      <c r="N288" s="131">
        <v>0</v>
      </c>
      <c r="O288" s="131">
        <v>0</v>
      </c>
      <c r="P288" s="131">
        <v>0</v>
      </c>
      <c r="Q288" s="78">
        <f t="shared" si="76"/>
        <v>0</v>
      </c>
      <c r="R288" s="132">
        <f t="shared" si="77"/>
        <v>0</v>
      </c>
      <c r="S288" s="133">
        <f t="shared" si="78"/>
        <v>0</v>
      </c>
      <c r="T288" s="77"/>
    </row>
    <row r="289" spans="1:20" s="11" customFormat="1" ht="14" customHeight="1">
      <c r="A289" s="77"/>
      <c r="B289" s="761"/>
      <c r="C289" s="150" t="s">
        <v>10</v>
      </c>
      <c r="D289" s="135" t="s">
        <v>1</v>
      </c>
      <c r="E289" s="471">
        <v>0</v>
      </c>
      <c r="F289" s="131">
        <v>0</v>
      </c>
      <c r="G289" s="131">
        <v>0</v>
      </c>
      <c r="H289" s="151">
        <v>0</v>
      </c>
      <c r="I289" s="131">
        <v>0</v>
      </c>
      <c r="J289" s="131">
        <v>0</v>
      </c>
      <c r="K289" s="131">
        <f>'Sankey conversion input'!E157</f>
        <v>0</v>
      </c>
      <c r="L289" s="131">
        <f>'Sankey conversion input'!D157</f>
        <v>0</v>
      </c>
      <c r="M289" s="131">
        <v>0</v>
      </c>
      <c r="N289" s="131">
        <v>0</v>
      </c>
      <c r="O289" s="131">
        <v>0</v>
      </c>
      <c r="P289" s="131">
        <v>0</v>
      </c>
      <c r="Q289" s="78">
        <f t="shared" si="76"/>
        <v>0</v>
      </c>
      <c r="R289" s="132">
        <f t="shared" si="77"/>
        <v>0</v>
      </c>
      <c r="S289" s="133">
        <f t="shared" si="78"/>
        <v>0</v>
      </c>
      <c r="T289" s="77"/>
    </row>
    <row r="290" spans="1:20" s="11" customFormat="1" ht="14" customHeight="1" thickBot="1">
      <c r="A290" s="77"/>
      <c r="B290" s="802"/>
      <c r="C290" s="169" t="s">
        <v>10</v>
      </c>
      <c r="D290" s="170" t="s">
        <v>13</v>
      </c>
      <c r="E290" s="474">
        <v>0</v>
      </c>
      <c r="F290" s="152">
        <v>0</v>
      </c>
      <c r="G290" s="152">
        <v>0</v>
      </c>
      <c r="H290" s="152">
        <v>0</v>
      </c>
      <c r="I290" s="152">
        <v>0</v>
      </c>
      <c r="J290" s="152">
        <v>0</v>
      </c>
      <c r="K290" s="152">
        <f>'Sankey conversion input'!E158</f>
        <v>0</v>
      </c>
      <c r="L290" s="152">
        <f>'Sankey conversion input'!D158</f>
        <v>0</v>
      </c>
      <c r="M290" s="152">
        <v>0</v>
      </c>
      <c r="N290" s="152">
        <v>0</v>
      </c>
      <c r="O290" s="152">
        <v>0</v>
      </c>
      <c r="P290" s="152">
        <v>0</v>
      </c>
      <c r="Q290" s="153">
        <f t="shared" si="76"/>
        <v>0</v>
      </c>
      <c r="R290" s="154">
        <f t="shared" si="77"/>
        <v>0</v>
      </c>
      <c r="S290" s="155">
        <f t="shared" si="78"/>
        <v>0</v>
      </c>
      <c r="T290" s="77"/>
    </row>
    <row r="291" spans="1:20" ht="17" customHeight="1">
      <c r="A291" s="174"/>
      <c r="B291" s="174"/>
      <c r="C291" s="174"/>
      <c r="D291" s="174"/>
      <c r="E291" s="174"/>
      <c r="F291" s="174"/>
      <c r="G291" s="174"/>
      <c r="H291" s="174"/>
      <c r="I291" s="174"/>
      <c r="J291" s="174"/>
      <c r="K291" s="174"/>
      <c r="L291" s="174"/>
      <c r="M291" s="174"/>
      <c r="N291" s="174"/>
      <c r="O291" s="174"/>
      <c r="P291" s="174"/>
      <c r="Q291" s="174"/>
      <c r="R291" s="174"/>
      <c r="S291" s="174"/>
      <c r="T291" s="174"/>
    </row>
    <row r="293" spans="1:20">
      <c r="L293" s="44"/>
    </row>
    <row r="294" spans="1:20">
      <c r="L294" s="44"/>
    </row>
  </sheetData>
  <sheetProtection sheet="1" objects="1" scenarios="1" formatCells="0" formatColumns="0" formatRows="0" insertHyperlinks="0" sort="0" autoFilter="0" pivotTables="0"/>
  <mergeCells count="148">
    <mergeCell ref="B276:B290"/>
    <mergeCell ref="B243:S243"/>
    <mergeCell ref="B259:S259"/>
    <mergeCell ref="B275:S275"/>
    <mergeCell ref="E276:F276"/>
    <mergeCell ref="G276:H276"/>
    <mergeCell ref="I276:J276"/>
    <mergeCell ref="K276:L276"/>
    <mergeCell ref="M276:N276"/>
    <mergeCell ref="O276:P276"/>
    <mergeCell ref="O244:P244"/>
    <mergeCell ref="E244:F244"/>
    <mergeCell ref="G244:H244"/>
    <mergeCell ref="I244:J244"/>
    <mergeCell ref="K244:L244"/>
    <mergeCell ref="M244:N244"/>
    <mergeCell ref="O260:P260"/>
    <mergeCell ref="E260:F260"/>
    <mergeCell ref="G260:H260"/>
    <mergeCell ref="I260:J260"/>
    <mergeCell ref="K260:L260"/>
    <mergeCell ref="M260:N260"/>
    <mergeCell ref="B260:B274"/>
    <mergeCell ref="B244:B258"/>
    <mergeCell ref="AP2:AY2"/>
    <mergeCell ref="V2:AE2"/>
    <mergeCell ref="AF2:AO2"/>
    <mergeCell ref="B179:S179"/>
    <mergeCell ref="B163:S163"/>
    <mergeCell ref="E164:F164"/>
    <mergeCell ref="G164:H164"/>
    <mergeCell ref="I164:J164"/>
    <mergeCell ref="K164:L164"/>
    <mergeCell ref="M164:N164"/>
    <mergeCell ref="O164:P164"/>
    <mergeCell ref="B147:S147"/>
    <mergeCell ref="B131:S131"/>
    <mergeCell ref="B115:S115"/>
    <mergeCell ref="B99:S99"/>
    <mergeCell ref="B83:S83"/>
    <mergeCell ref="K132:L132"/>
    <mergeCell ref="M132:N132"/>
    <mergeCell ref="O132:P132"/>
    <mergeCell ref="E116:F116"/>
    <mergeCell ref="G116:H116"/>
    <mergeCell ref="I116:J116"/>
    <mergeCell ref="K116:L116"/>
    <mergeCell ref="M116:N116"/>
    <mergeCell ref="O116:P116"/>
    <mergeCell ref="E100:F100"/>
    <mergeCell ref="G100:H100"/>
    <mergeCell ref="I100:J100"/>
    <mergeCell ref="K100:L100"/>
    <mergeCell ref="M100:N100"/>
    <mergeCell ref="O100:P100"/>
    <mergeCell ref="E84:F84"/>
    <mergeCell ref="G84:H84"/>
    <mergeCell ref="I84:J84"/>
    <mergeCell ref="K84:L84"/>
    <mergeCell ref="M84:N84"/>
    <mergeCell ref="O84:P84"/>
    <mergeCell ref="K148:L148"/>
    <mergeCell ref="M148:N148"/>
    <mergeCell ref="O148:P148"/>
    <mergeCell ref="E228:F228"/>
    <mergeCell ref="G228:H228"/>
    <mergeCell ref="I228:J228"/>
    <mergeCell ref="K228:L228"/>
    <mergeCell ref="M228:N228"/>
    <mergeCell ref="O228:P228"/>
    <mergeCell ref="E180:F180"/>
    <mergeCell ref="G180:H180"/>
    <mergeCell ref="I180:J180"/>
    <mergeCell ref="K180:L180"/>
    <mergeCell ref="M180:N180"/>
    <mergeCell ref="O180:P180"/>
    <mergeCell ref="E148:F148"/>
    <mergeCell ref="I196:J196"/>
    <mergeCell ref="K196:L196"/>
    <mergeCell ref="M196:N196"/>
    <mergeCell ref="B116:B130"/>
    <mergeCell ref="B100:B114"/>
    <mergeCell ref="B84:B98"/>
    <mergeCell ref="B68:B82"/>
    <mergeCell ref="B52:B66"/>
    <mergeCell ref="B36:B50"/>
    <mergeCell ref="B20:B34"/>
    <mergeCell ref="O4:P4"/>
    <mergeCell ref="M68:N68"/>
    <mergeCell ref="O68:P68"/>
    <mergeCell ref="E52:F52"/>
    <mergeCell ref="G52:H52"/>
    <mergeCell ref="I52:J52"/>
    <mergeCell ref="K52:L52"/>
    <mergeCell ref="M52:N52"/>
    <mergeCell ref="O52:P52"/>
    <mergeCell ref="E68:F68"/>
    <mergeCell ref="G68:H68"/>
    <mergeCell ref="I68:J68"/>
    <mergeCell ref="K68:L68"/>
    <mergeCell ref="B19:S19"/>
    <mergeCell ref="B67:S67"/>
    <mergeCell ref="B51:S51"/>
    <mergeCell ref="E20:F20"/>
    <mergeCell ref="B228:B242"/>
    <mergeCell ref="B212:B226"/>
    <mergeCell ref="B196:B210"/>
    <mergeCell ref="B180:B194"/>
    <mergeCell ref="B164:B178"/>
    <mergeCell ref="B148:B162"/>
    <mergeCell ref="B132:B146"/>
    <mergeCell ref="B211:S211"/>
    <mergeCell ref="B227:S227"/>
    <mergeCell ref="E212:F212"/>
    <mergeCell ref="G212:H212"/>
    <mergeCell ref="I212:J212"/>
    <mergeCell ref="K212:L212"/>
    <mergeCell ref="M212:N212"/>
    <mergeCell ref="O212:P212"/>
    <mergeCell ref="E196:F196"/>
    <mergeCell ref="G196:H196"/>
    <mergeCell ref="B195:S195"/>
    <mergeCell ref="O196:P196"/>
    <mergeCell ref="G148:H148"/>
    <mergeCell ref="I148:J148"/>
    <mergeCell ref="E132:F132"/>
    <mergeCell ref="G132:H132"/>
    <mergeCell ref="I132:J132"/>
    <mergeCell ref="I36:J36"/>
    <mergeCell ref="K36:L36"/>
    <mergeCell ref="M36:N36"/>
    <mergeCell ref="O36:P36"/>
    <mergeCell ref="B35:S35"/>
    <mergeCell ref="B2:S2"/>
    <mergeCell ref="B3:S3"/>
    <mergeCell ref="B4:B18"/>
    <mergeCell ref="M4:N4"/>
    <mergeCell ref="K4:L4"/>
    <mergeCell ref="I4:J4"/>
    <mergeCell ref="G4:H4"/>
    <mergeCell ref="E4:F4"/>
    <mergeCell ref="G20:H20"/>
    <mergeCell ref="I20:J20"/>
    <mergeCell ref="K20:L20"/>
    <mergeCell ref="M20:N20"/>
    <mergeCell ref="O20:P20"/>
    <mergeCell ref="E36:F36"/>
    <mergeCell ref="G36:H36"/>
  </mergeCells>
  <phoneticPr fontId="55" type="noConversion"/>
  <pageMargins left="0.75" right="0.75" top="1" bottom="1" header="0.5" footer="0.5"/>
  <pageSetup paperSize="3" scale="13" orientation="landscape" horizontalDpi="4294967292" verticalDpi="4294967292"/>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pageSetUpPr fitToPage="1"/>
  </sheetPr>
  <dimension ref="A1:AY294"/>
  <sheetViews>
    <sheetView workbookViewId="0"/>
  </sheetViews>
  <sheetFormatPr baseColWidth="10" defaultColWidth="13.83203125" defaultRowHeight="13"/>
  <cols>
    <col min="1" max="1" width="2.83203125" style="42" customWidth="1"/>
    <col min="2" max="3" width="13.83203125" style="41"/>
    <col min="4" max="4" width="13.83203125" style="41" customWidth="1"/>
    <col min="5" max="11" width="13.83203125" style="41"/>
    <col min="12" max="12" width="16.6640625" style="41" customWidth="1"/>
    <col min="13" max="19" width="13.83203125" style="41"/>
    <col min="20" max="20" width="2.83203125" style="42" customWidth="1"/>
    <col min="21" max="16384" width="13.83203125" style="42"/>
  </cols>
  <sheetData>
    <row r="1" spans="1:51" ht="17" customHeight="1" thickBot="1">
      <c r="A1" s="174"/>
      <c r="B1" s="174"/>
      <c r="C1" s="174"/>
      <c r="D1" s="174"/>
      <c r="E1" s="174"/>
      <c r="F1" s="174"/>
      <c r="G1" s="174"/>
      <c r="H1" s="174"/>
      <c r="I1" s="174"/>
      <c r="J1" s="174"/>
      <c r="K1" s="174"/>
      <c r="L1" s="174"/>
      <c r="M1" s="174"/>
      <c r="N1" s="174"/>
      <c r="O1" s="174"/>
      <c r="P1" s="174"/>
      <c r="Q1" s="174"/>
      <c r="R1" s="174"/>
      <c r="S1" s="174"/>
      <c r="T1" s="174"/>
    </row>
    <row r="2" spans="1:51" s="38" customFormat="1" ht="30" customHeight="1">
      <c r="A2" s="175"/>
      <c r="B2" s="749" t="s">
        <v>858</v>
      </c>
      <c r="C2" s="750"/>
      <c r="D2" s="750"/>
      <c r="E2" s="750"/>
      <c r="F2" s="750"/>
      <c r="G2" s="750"/>
      <c r="H2" s="750"/>
      <c r="I2" s="750"/>
      <c r="J2" s="750"/>
      <c r="K2" s="750"/>
      <c r="L2" s="750"/>
      <c r="M2" s="750"/>
      <c r="N2" s="750"/>
      <c r="O2" s="750"/>
      <c r="P2" s="750"/>
      <c r="Q2" s="750"/>
      <c r="R2" s="750"/>
      <c r="S2" s="751"/>
      <c r="T2" s="175"/>
      <c r="V2" s="780"/>
      <c r="W2" s="780"/>
      <c r="X2" s="780"/>
      <c r="Y2" s="780"/>
      <c r="Z2" s="780"/>
      <c r="AA2" s="780"/>
      <c r="AB2" s="780"/>
      <c r="AC2" s="780"/>
      <c r="AD2" s="780"/>
      <c r="AE2" s="780"/>
      <c r="AF2" s="780"/>
      <c r="AG2" s="780"/>
      <c r="AH2" s="780"/>
      <c r="AI2" s="780"/>
      <c r="AJ2" s="780"/>
      <c r="AK2" s="780"/>
      <c r="AL2" s="780"/>
      <c r="AM2" s="780"/>
      <c r="AN2" s="780"/>
      <c r="AO2" s="780"/>
      <c r="AP2" s="780"/>
      <c r="AQ2" s="780"/>
      <c r="AR2" s="780"/>
      <c r="AS2" s="780"/>
      <c r="AT2" s="780"/>
      <c r="AU2" s="780"/>
      <c r="AV2" s="780"/>
      <c r="AW2" s="780"/>
      <c r="AX2" s="780"/>
      <c r="AY2" s="780"/>
    </row>
    <row r="3" spans="1:51" s="38" customFormat="1" ht="20" customHeight="1" thickBot="1">
      <c r="A3" s="175"/>
      <c r="B3" s="752" t="s">
        <v>857</v>
      </c>
      <c r="C3" s="753"/>
      <c r="D3" s="753"/>
      <c r="E3" s="753"/>
      <c r="F3" s="753"/>
      <c r="G3" s="753"/>
      <c r="H3" s="753"/>
      <c r="I3" s="753"/>
      <c r="J3" s="753"/>
      <c r="K3" s="753"/>
      <c r="L3" s="753"/>
      <c r="M3" s="753"/>
      <c r="N3" s="753"/>
      <c r="O3" s="753"/>
      <c r="P3" s="753"/>
      <c r="Q3" s="753"/>
      <c r="R3" s="753"/>
      <c r="S3" s="754"/>
      <c r="T3" s="175"/>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row>
    <row r="4" spans="1:51" s="11" customFormat="1" ht="14" customHeight="1">
      <c r="A4" s="77"/>
      <c r="B4" s="755" t="s">
        <v>856</v>
      </c>
      <c r="C4" s="120"/>
      <c r="D4" s="120"/>
      <c r="E4" s="757" t="s">
        <v>591</v>
      </c>
      <c r="F4" s="758"/>
      <c r="G4" s="756" t="s">
        <v>66</v>
      </c>
      <c r="H4" s="756"/>
      <c r="I4" s="742" t="s">
        <v>67</v>
      </c>
      <c r="J4" s="742"/>
      <c r="K4" s="743" t="s">
        <v>68</v>
      </c>
      <c r="L4" s="743"/>
      <c r="M4" s="744" t="s">
        <v>69</v>
      </c>
      <c r="N4" s="744"/>
      <c r="O4" s="745" t="s">
        <v>413</v>
      </c>
      <c r="P4" s="745"/>
      <c r="Q4" s="121" t="s">
        <v>48</v>
      </c>
      <c r="R4" s="467" t="s">
        <v>48</v>
      </c>
      <c r="S4" s="123" t="s">
        <v>48</v>
      </c>
      <c r="T4" s="77"/>
    </row>
    <row r="5" spans="1:51" s="11" customFormat="1" ht="14" customHeight="1">
      <c r="A5" s="77"/>
      <c r="B5" s="755"/>
      <c r="C5" s="120"/>
      <c r="D5" s="120"/>
      <c r="E5" s="469" t="s">
        <v>209</v>
      </c>
      <c r="F5" s="414" t="s">
        <v>208</v>
      </c>
      <c r="G5" s="414" t="s">
        <v>209</v>
      </c>
      <c r="H5" s="414" t="s">
        <v>208</v>
      </c>
      <c r="I5" s="414" t="s">
        <v>209</v>
      </c>
      <c r="J5" s="414" t="s">
        <v>208</v>
      </c>
      <c r="K5" s="414" t="s">
        <v>209</v>
      </c>
      <c r="L5" s="414" t="s">
        <v>208</v>
      </c>
      <c r="M5" s="414" t="s">
        <v>209</v>
      </c>
      <c r="N5" s="414" t="s">
        <v>208</v>
      </c>
      <c r="O5" s="414" t="s">
        <v>209</v>
      </c>
      <c r="P5" s="414" t="s">
        <v>208</v>
      </c>
      <c r="Q5" s="121" t="s">
        <v>209</v>
      </c>
      <c r="R5" s="468" t="s">
        <v>208</v>
      </c>
      <c r="S5" s="123" t="s">
        <v>413</v>
      </c>
      <c r="T5" s="77"/>
    </row>
    <row r="6" spans="1:51" s="39" customFormat="1" ht="28" customHeight="1">
      <c r="A6" s="176"/>
      <c r="B6" s="755"/>
      <c r="C6" s="124" t="s">
        <v>761</v>
      </c>
      <c r="D6" s="125" t="s">
        <v>762</v>
      </c>
      <c r="E6" s="126">
        <f t="shared" ref="E6:S6" si="0">SUM(E7:E18)</f>
        <v>0.14481984931638048</v>
      </c>
      <c r="F6" s="126">
        <f t="shared" si="0"/>
        <v>0.18901567083726395</v>
      </c>
      <c r="G6" s="126">
        <f t="shared" si="0"/>
        <v>1.7910930116708354E-3</v>
      </c>
      <c r="H6" s="126">
        <f t="shared" si="0"/>
        <v>1.1750136349251976E-2</v>
      </c>
      <c r="I6" s="126">
        <f t="shared" si="0"/>
        <v>3.2801643351561766E-3</v>
      </c>
      <c r="J6" s="126">
        <f t="shared" si="0"/>
        <v>3.4037794738491474E-3</v>
      </c>
      <c r="K6" s="126">
        <f t="shared" si="0"/>
        <v>7.4510840370906051E-2</v>
      </c>
      <c r="L6" s="126">
        <f t="shared" si="0"/>
        <v>2.871940028173309</v>
      </c>
      <c r="M6" s="126">
        <f t="shared" si="0"/>
        <v>5.2190583066277245E-3</v>
      </c>
      <c r="N6" s="126">
        <f t="shared" si="0"/>
        <v>1.0829170917297539E-3</v>
      </c>
      <c r="O6" s="126">
        <f t="shared" si="0"/>
        <v>-3.8780133139518384E-2</v>
      </c>
      <c r="P6" s="126">
        <f t="shared" si="0"/>
        <v>-3.8780133139518384E-2</v>
      </c>
      <c r="Q6" s="79">
        <f t="shared" si="0"/>
        <v>0.22962100534074126</v>
      </c>
      <c r="R6" s="127">
        <f t="shared" si="0"/>
        <v>3.0771925319254034</v>
      </c>
      <c r="S6" s="128">
        <f t="shared" si="0"/>
        <v>-3.8780133139518384E-2</v>
      </c>
      <c r="T6" s="176"/>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s="43" customFormat="1" ht="14" customHeight="1">
      <c r="A7" s="72"/>
      <c r="B7" s="755"/>
      <c r="C7" s="142" t="s">
        <v>9</v>
      </c>
      <c r="D7" s="143" t="s">
        <v>0</v>
      </c>
      <c r="E7" s="475">
        <f>'Absolute Volume'!E7/'Energy data by fuel cycle'!$G$4</f>
        <v>6.8925537940749099E-2</v>
      </c>
      <c r="F7" s="157">
        <f>'Absolute Volume'!F7/'Energy data by fuel cycle'!$G$4</f>
        <v>8.1956094416904657E-2</v>
      </c>
      <c r="G7" s="157">
        <f>'Absolute Volume'!G7/'Energy data by fuel cycle'!$G$4</f>
        <v>6.7239348915495848E-4</v>
      </c>
      <c r="H7" s="157">
        <f>'Absolute Volume'!H7/'Energy data by fuel cycle'!$G$4</f>
        <v>4.1697002647691139E-3</v>
      </c>
      <c r="I7" s="157">
        <f>'Absolute Volume'!I7/'Energy data by fuel cycle'!$G$4</f>
        <v>3.1692089997931275E-4</v>
      </c>
      <c r="J7" s="157">
        <f>'Absolute Volume'!J7/'Energy data by fuel cycle'!$G$4</f>
        <v>3.6635531604549382E-4</v>
      </c>
      <c r="K7" s="158">
        <f>'Absolute Volume'!K7/'Energy data by fuel cycle'!$G$4</f>
        <v>1.2663690200439602E-2</v>
      </c>
      <c r="L7" s="158">
        <f>'Absolute Volume'!L7/'Energy data by fuel cycle'!$G$4</f>
        <v>1.6172075349279894E-2</v>
      </c>
      <c r="M7" s="157">
        <f>'Absolute Volume'!M7/'Energy data by fuel cycle'!$G$4</f>
        <v>3.4742746204977749E-4</v>
      </c>
      <c r="N7" s="157">
        <f>'Absolute Volume'!N7/'Energy data by fuel cycle'!$G$4</f>
        <v>2.756913749402685E-6</v>
      </c>
      <c r="O7" s="157">
        <f>'Absolute Volume'!O7/'Energy data by fuel cycle'!$G$4</f>
        <v>0</v>
      </c>
      <c r="P7" s="157">
        <f>'Absolute Volume'!P7/'Energy data by fuel cycle'!$G$4</f>
        <v>0</v>
      </c>
      <c r="Q7" s="78">
        <f>'Absolute Volume'!Q7/'Energy data by fuel cycle'!$G$4</f>
        <v>8.2925969992372756E-2</v>
      </c>
      <c r="R7" s="132">
        <f>'Absolute Volume'!R7/'Energy data by fuel cycle'!$G$4</f>
        <v>0.10266698226074855</v>
      </c>
      <c r="S7" s="159">
        <f>'Absolute Volume'!S7/'Energy data by fuel cycle'!$G$4</f>
        <v>0</v>
      </c>
      <c r="T7" s="72"/>
    </row>
    <row r="8" spans="1:51" s="43" customFormat="1" ht="14" customHeight="1">
      <c r="A8" s="72"/>
      <c r="B8" s="755"/>
      <c r="C8" s="142" t="s">
        <v>9</v>
      </c>
      <c r="D8" s="134" t="s">
        <v>7</v>
      </c>
      <c r="E8" s="476">
        <f>'Absolute Volume'!E8/'Energy data by fuel cycle'!$G$4</f>
        <v>4.0787144426019262E-3</v>
      </c>
      <c r="F8" s="157">
        <f>'Absolute Volume'!F8/'Energy data by fuel cycle'!$G$4</f>
        <v>7.3574712847115789E-3</v>
      </c>
      <c r="G8" s="157">
        <f>'Absolute Volume'!G8/'Energy data by fuel cycle'!$G$4</f>
        <v>1.6425445525183182E-5</v>
      </c>
      <c r="H8" s="157">
        <f>'Absolute Volume'!H8/'Energy data by fuel cycle'!$G$4</f>
        <v>1.5716021946811173E-5</v>
      </c>
      <c r="I8" s="157">
        <f>'Absolute Volume'!I8/'Energy data by fuel cycle'!$G$4</f>
        <v>0</v>
      </c>
      <c r="J8" s="157">
        <f>'Absolute Volume'!J8/'Energy data by fuel cycle'!$G$4</f>
        <v>0</v>
      </c>
      <c r="K8" s="158">
        <f>'Absolute Volume'!K8/'Energy data by fuel cycle'!$G$4</f>
        <v>5.3448693637225241E-5</v>
      </c>
      <c r="L8" s="158">
        <f>'Absolute Volume'!L8/'Energy data by fuel cycle'!$G$4</f>
        <v>7.2508946070839797E-5</v>
      </c>
      <c r="M8" s="157">
        <f>'Absolute Volume'!M8/'Energy data by fuel cycle'!$G$4</f>
        <v>1.1490495780385299E-5</v>
      </c>
      <c r="N8" s="157">
        <f>'Absolute Volume'!N8/'Energy data by fuel cycle'!$G$4</f>
        <v>0</v>
      </c>
      <c r="O8" s="157">
        <f>'Absolute Volume'!O8/'Energy data by fuel cycle'!$G$4</f>
        <v>0</v>
      </c>
      <c r="P8" s="157">
        <f>'Absolute Volume'!P8/'Energy data by fuel cycle'!$G$4</f>
        <v>0</v>
      </c>
      <c r="Q8" s="78">
        <f>'Absolute Volume'!Q8/'Energy data by fuel cycle'!$G$4</f>
        <v>4.1600790775447195E-3</v>
      </c>
      <c r="R8" s="132">
        <f>'Absolute Volume'!R8/'Energy data by fuel cycle'!$G$4</f>
        <v>7.4456962527292298E-3</v>
      </c>
      <c r="S8" s="159">
        <f>'Absolute Volume'!S8/'Energy data by fuel cycle'!$G$4</f>
        <v>0</v>
      </c>
      <c r="T8" s="72"/>
    </row>
    <row r="9" spans="1:51" s="43" customFormat="1" ht="14" customHeight="1">
      <c r="A9" s="72"/>
      <c r="B9" s="755"/>
      <c r="C9" s="142" t="s">
        <v>9</v>
      </c>
      <c r="D9" s="135" t="s">
        <v>1</v>
      </c>
      <c r="E9" s="476">
        <f>'Absolute Volume'!E9/'Energy data by fuel cycle'!$G$4</f>
        <v>6.8705421532089892E-3</v>
      </c>
      <c r="F9" s="157">
        <f>'Absolute Volume'!F9/'Energy data by fuel cycle'!$G$4</f>
        <v>1.3273585463391694E-2</v>
      </c>
      <c r="G9" s="157">
        <f>'Absolute Volume'!G9/'Energy data by fuel cycle'!$G$4</f>
        <v>7.0822353162724265E-6</v>
      </c>
      <c r="H9" s="157">
        <f>'Absolute Volume'!H9/'Energy data by fuel cycle'!$G$4</f>
        <v>1.0438678185516746E-5</v>
      </c>
      <c r="I9" s="157">
        <f>'Absolute Volume'!I9/'Energy data by fuel cycle'!$G$4</f>
        <v>0</v>
      </c>
      <c r="J9" s="157">
        <f>'Absolute Volume'!J9/'Energy data by fuel cycle'!$G$4</f>
        <v>0</v>
      </c>
      <c r="K9" s="158">
        <f>'Absolute Volume'!K9/'Energy data by fuel cycle'!$G$4</f>
        <v>8.641296972214255E-5</v>
      </c>
      <c r="L9" s="158">
        <f>'Absolute Volume'!L9/'Energy data by fuel cycle'!$G$4</f>
        <v>9.8558392178103415E-5</v>
      </c>
      <c r="M9" s="157">
        <f>'Absolute Volume'!M9/'Energy data by fuel cycle'!$G$4</f>
        <v>0</v>
      </c>
      <c r="N9" s="157">
        <f>'Absolute Volume'!N9/'Energy data by fuel cycle'!$G$4</f>
        <v>0</v>
      </c>
      <c r="O9" s="157">
        <f>'Absolute Volume'!O9/'Energy data by fuel cycle'!$G$4</f>
        <v>0</v>
      </c>
      <c r="P9" s="157">
        <f>'Absolute Volume'!P9/'Energy data by fuel cycle'!$G$4</f>
        <v>0</v>
      </c>
      <c r="Q9" s="78">
        <f>'Absolute Volume'!Q9/'Energy data by fuel cycle'!$G$4</f>
        <v>6.9640373582474041E-3</v>
      </c>
      <c r="R9" s="132">
        <f>'Absolute Volume'!R9/'Energy data by fuel cycle'!$G$4</f>
        <v>1.3382582533755315E-2</v>
      </c>
      <c r="S9" s="159">
        <f>'Absolute Volume'!S9/'Energy data by fuel cycle'!$G$4</f>
        <v>0</v>
      </c>
      <c r="T9" s="72"/>
    </row>
    <row r="10" spans="1:51" s="43" customFormat="1" ht="14" customHeight="1">
      <c r="A10" s="72"/>
      <c r="B10" s="755"/>
      <c r="C10" s="144" t="s">
        <v>9</v>
      </c>
      <c r="D10" s="145" t="s">
        <v>13</v>
      </c>
      <c r="E10" s="477">
        <f>'Absolute Volume'!E10/'Energy data by fuel cycle'!$G$4</f>
        <v>2.5269123210275215E-2</v>
      </c>
      <c r="F10" s="163">
        <f>'Absolute Volume'!F10/'Energy data by fuel cycle'!$G$4</f>
        <v>4.612364646037917E-2</v>
      </c>
      <c r="G10" s="163">
        <f>'Absolute Volume'!G10/'Energy data by fuel cycle'!$G$4</f>
        <v>1.3434615773631606E-4</v>
      </c>
      <c r="H10" s="163">
        <f>'Absolute Volume'!H10/'Energy data by fuel cycle'!$G$4</f>
        <v>1.324076381233928E-4</v>
      </c>
      <c r="I10" s="163">
        <f>'Absolute Volume'!I10/'Energy data by fuel cycle'!$G$4</f>
        <v>0</v>
      </c>
      <c r="J10" s="163">
        <f>'Absolute Volume'!J10/'Energy data by fuel cycle'!$G$4</f>
        <v>0</v>
      </c>
      <c r="K10" s="164">
        <f>'Absolute Volume'!K10/'Energy data by fuel cycle'!$G$4</f>
        <v>0</v>
      </c>
      <c r="L10" s="164">
        <f>'Absolute Volume'!L10/'Energy data by fuel cycle'!$G$4</f>
        <v>0</v>
      </c>
      <c r="M10" s="163">
        <f>'Absolute Volume'!M10/'Energy data by fuel cycle'!$G$4</f>
        <v>0</v>
      </c>
      <c r="N10" s="163">
        <f>'Absolute Volume'!N10/'Energy data by fuel cycle'!$G$4</f>
        <v>0</v>
      </c>
      <c r="O10" s="163">
        <f>'Absolute Volume'!O10/'Energy data by fuel cycle'!$G$4</f>
        <v>0</v>
      </c>
      <c r="P10" s="163">
        <f>'Absolute Volume'!P10/'Energy data by fuel cycle'!$G$4</f>
        <v>0</v>
      </c>
      <c r="Q10" s="147">
        <f>'Absolute Volume'!Q10/'Energy data by fuel cycle'!$G$4</f>
        <v>2.5403469368011532E-2</v>
      </c>
      <c r="R10" s="148">
        <f>'Absolute Volume'!R10/'Energy data by fuel cycle'!$G$4</f>
        <v>4.6256054098502558E-2</v>
      </c>
      <c r="S10" s="165">
        <f>'Absolute Volume'!S10/'Energy data by fuel cycle'!$G$4</f>
        <v>0</v>
      </c>
      <c r="T10" s="72"/>
    </row>
    <row r="11" spans="1:51" s="43" customFormat="1" ht="14" customHeight="1">
      <c r="A11" s="72"/>
      <c r="B11" s="755"/>
      <c r="C11" s="129" t="s">
        <v>8</v>
      </c>
      <c r="D11" s="130" t="s">
        <v>0</v>
      </c>
      <c r="E11" s="476">
        <f>'Absolute Volume'!E11/'Energy data by fuel cycle'!$G$4</f>
        <v>3.9188959044833757E-2</v>
      </c>
      <c r="F11" s="157">
        <f>'Absolute Volume'!F11/'Energy data by fuel cycle'!$G$4</f>
        <v>4.0057014897623693E-2</v>
      </c>
      <c r="G11" s="157">
        <f>'Absolute Volume'!G11/'Energy data by fuel cycle'!$G$4</f>
        <v>9.6084568393810536E-4</v>
      </c>
      <c r="H11" s="157">
        <f>'Absolute Volume'!H11/'Energy data by fuel cycle'!$G$4</f>
        <v>7.4218737462271398E-3</v>
      </c>
      <c r="I11" s="157">
        <f>'Absolute Volume'!I11/'Energy data by fuel cycle'!$G$4</f>
        <v>1.267683599917251E-3</v>
      </c>
      <c r="J11" s="157">
        <f>'Absolute Volume'!J11/'Energy data by fuel cycle'!$G$4</f>
        <v>1.3418352240165228E-3</v>
      </c>
      <c r="K11" s="158">
        <f>'Absolute Volume'!K11/'Energy data by fuel cycle'!$G$4</f>
        <v>5.2976083046089119E-2</v>
      </c>
      <c r="L11" s="158">
        <f>'Absolute Volume'!L11/'Energy data by fuel cycle'!$G$4</f>
        <v>2.3490462275678161</v>
      </c>
      <c r="M11" s="157">
        <f>'Absolute Volume'!M11/'Energy data by fuel cycle'!$G$4</f>
        <v>4.6048252251855472E-3</v>
      </c>
      <c r="N11" s="157">
        <f>'Absolute Volume'!N11/'Energy data by fuel cycle'!$G$4</f>
        <v>1.077390232890541E-3</v>
      </c>
      <c r="O11" s="157">
        <f>'Absolute Volume'!O11/'Energy data by fuel cycle'!$G$4</f>
        <v>-3.8780133139518384E-2</v>
      </c>
      <c r="P11" s="157">
        <f>'Absolute Volume'!P11/'Energy data by fuel cycle'!$G$4</f>
        <v>-3.8780133139518384E-2</v>
      </c>
      <c r="Q11" s="78">
        <f>'Absolute Volume'!Q11/'Energy data by fuel cycle'!$G$4</f>
        <v>9.8998396599963775E-2</v>
      </c>
      <c r="R11" s="132">
        <f>'Absolute Volume'!R11/'Energy data by fuel cycle'!$G$4</f>
        <v>2.3989443416685736</v>
      </c>
      <c r="S11" s="159">
        <f>'Absolute Volume'!S11/'Energy data by fuel cycle'!$G$4</f>
        <v>-3.8780133139518384E-2</v>
      </c>
      <c r="T11" s="72"/>
    </row>
    <row r="12" spans="1:51" s="43" customFormat="1" ht="14" customHeight="1">
      <c r="A12" s="72"/>
      <c r="B12" s="755"/>
      <c r="C12" s="129" t="s">
        <v>8</v>
      </c>
      <c r="D12" s="134" t="s">
        <v>7</v>
      </c>
      <c r="E12" s="476">
        <f>'Absolute Volume'!E12/'Energy data by fuel cycle'!$G$4</f>
        <v>0</v>
      </c>
      <c r="F12" s="157">
        <f>'Absolute Volume'!F12/'Energy data by fuel cycle'!$G$4</f>
        <v>0</v>
      </c>
      <c r="G12" s="157">
        <f>'Absolute Volume'!G12/'Energy data by fuel cycle'!$G$4</f>
        <v>0</v>
      </c>
      <c r="H12" s="157">
        <f>'Absolute Volume'!H12/'Energy data by fuel cycle'!$G$4</f>
        <v>0</v>
      </c>
      <c r="I12" s="157">
        <f>'Absolute Volume'!I12/'Energy data by fuel cycle'!$G$4</f>
        <v>0</v>
      </c>
      <c r="J12" s="157">
        <f>'Absolute Volume'!J12/'Energy data by fuel cycle'!$G$4</f>
        <v>0</v>
      </c>
      <c r="K12" s="158">
        <f>'Absolute Volume'!K12/'Energy data by fuel cycle'!$G$4</f>
        <v>2.3462905062399718E-3</v>
      </c>
      <c r="L12" s="158">
        <f>'Absolute Volume'!L12/'Energy data by fuel cycle'!$G$4</f>
        <v>0.19636226808954629</v>
      </c>
      <c r="M12" s="157">
        <f>'Absolute Volume'!M12/'Energy data by fuel cycle'!$G$4</f>
        <v>1.2511193255848924E-4</v>
      </c>
      <c r="N12" s="157">
        <f>'Absolute Volume'!N12/'Energy data by fuel cycle'!$G$4</f>
        <v>0</v>
      </c>
      <c r="O12" s="157">
        <f>'Absolute Volume'!O12/'Energy data by fuel cycle'!$G$4</f>
        <v>0</v>
      </c>
      <c r="P12" s="157">
        <f>'Absolute Volume'!P12/'Energy data by fuel cycle'!$G$4</f>
        <v>0</v>
      </c>
      <c r="Q12" s="78">
        <f>'Absolute Volume'!Q12/'Energy data by fuel cycle'!$G$4</f>
        <v>2.4714024387984608E-3</v>
      </c>
      <c r="R12" s="132">
        <f>'Absolute Volume'!R12/'Energy data by fuel cycle'!$G$4</f>
        <v>0.19636226808954629</v>
      </c>
      <c r="S12" s="159">
        <f>'Absolute Volume'!S12/'Energy data by fuel cycle'!$G$4</f>
        <v>0</v>
      </c>
      <c r="T12" s="72"/>
    </row>
    <row r="13" spans="1:51" s="43" customFormat="1" ht="14" customHeight="1">
      <c r="A13" s="72"/>
      <c r="B13" s="755"/>
      <c r="C13" s="129" t="s">
        <v>8</v>
      </c>
      <c r="D13" s="135" t="s">
        <v>1</v>
      </c>
      <c r="E13" s="476">
        <f>'Absolute Volume'!E13/'Energy data by fuel cycle'!$G$4</f>
        <v>0</v>
      </c>
      <c r="F13" s="157">
        <f>'Absolute Volume'!F13/'Energy data by fuel cycle'!$G$4</f>
        <v>0</v>
      </c>
      <c r="G13" s="157">
        <f>'Absolute Volume'!G13/'Energy data by fuel cycle'!$G$4</f>
        <v>0</v>
      </c>
      <c r="H13" s="157">
        <f>'Absolute Volume'!H13/'Energy data by fuel cycle'!$G$4</f>
        <v>0</v>
      </c>
      <c r="I13" s="157">
        <f>'Absolute Volume'!I13/'Energy data by fuel cycle'!$G$4</f>
        <v>1.6955598352596127E-3</v>
      </c>
      <c r="J13" s="157">
        <f>'Absolute Volume'!J13/'Energy data by fuel cycle'!$G$4</f>
        <v>1.6955889337871306E-3</v>
      </c>
      <c r="K13" s="158">
        <f>'Absolute Volume'!K13/'Energy data by fuel cycle'!$G$4</f>
        <v>2.4876802280092395E-3</v>
      </c>
      <c r="L13" s="158">
        <f>'Absolute Volume'!L13/'Energy data by fuel cycle'!$G$4</f>
        <v>0.2872031368940291</v>
      </c>
      <c r="M13" s="157">
        <f>'Absolute Volume'!M13/'Energy data by fuel cycle'!$G$4</f>
        <v>8.0055077652232685E-5</v>
      </c>
      <c r="N13" s="157">
        <f>'Absolute Volume'!N13/'Energy data by fuel cycle'!$G$4</f>
        <v>0</v>
      </c>
      <c r="O13" s="157">
        <f>'Absolute Volume'!O13/'Energy data by fuel cycle'!$G$4</f>
        <v>0</v>
      </c>
      <c r="P13" s="157">
        <f>'Absolute Volume'!P13/'Energy data by fuel cycle'!$G$4</f>
        <v>0</v>
      </c>
      <c r="Q13" s="78">
        <f>'Absolute Volume'!Q13/'Energy data by fuel cycle'!$G$4</f>
        <v>4.263295140921085E-3</v>
      </c>
      <c r="R13" s="132">
        <f>'Absolute Volume'!R13/'Energy data by fuel cycle'!$G$4</f>
        <v>0.28889872582781617</v>
      </c>
      <c r="S13" s="159">
        <f>'Absolute Volume'!S13/'Energy data by fuel cycle'!$G$4</f>
        <v>0</v>
      </c>
      <c r="T13" s="72"/>
    </row>
    <row r="14" spans="1:51" s="43" customFormat="1" ht="14" customHeight="1">
      <c r="A14" s="72"/>
      <c r="B14" s="755"/>
      <c r="C14" s="136" t="s">
        <v>8</v>
      </c>
      <c r="D14" s="137" t="s">
        <v>13</v>
      </c>
      <c r="E14" s="478">
        <f>'Absolute Volume'!E14/'Energy data by fuel cycle'!$G$4</f>
        <v>0</v>
      </c>
      <c r="F14" s="160">
        <f>'Absolute Volume'!F14/'Energy data by fuel cycle'!$G$4</f>
        <v>0</v>
      </c>
      <c r="G14" s="160">
        <f>'Absolute Volume'!G14/'Energy data by fuel cycle'!$G$4</f>
        <v>0</v>
      </c>
      <c r="H14" s="160">
        <f>'Absolute Volume'!H14/'Energy data by fuel cycle'!$G$4</f>
        <v>0</v>
      </c>
      <c r="I14" s="160">
        <f>'Absolute Volume'!I14/'Energy data by fuel cycle'!$G$4</f>
        <v>0</v>
      </c>
      <c r="J14" s="160">
        <f>'Absolute Volume'!J14/'Energy data by fuel cycle'!$G$4</f>
        <v>0</v>
      </c>
      <c r="K14" s="161">
        <f>'Absolute Volume'!K14/'Energy data by fuel cycle'!$G$4</f>
        <v>0</v>
      </c>
      <c r="L14" s="161">
        <f>'Absolute Volume'!L14/'Energy data by fuel cycle'!$G$4</f>
        <v>0</v>
      </c>
      <c r="M14" s="160">
        <f>'Absolute Volume'!M14/'Energy data by fuel cycle'!$G$4</f>
        <v>0</v>
      </c>
      <c r="N14" s="160">
        <f>'Absolute Volume'!N14/'Energy data by fuel cycle'!$G$4</f>
        <v>0</v>
      </c>
      <c r="O14" s="160">
        <f>'Absolute Volume'!O14/'Energy data by fuel cycle'!$G$4</f>
        <v>0</v>
      </c>
      <c r="P14" s="160">
        <f>'Absolute Volume'!P14/'Energy data by fuel cycle'!$G$4</f>
        <v>0</v>
      </c>
      <c r="Q14" s="139">
        <f>'Absolute Volume'!Q14/'Energy data by fuel cycle'!$G$4</f>
        <v>0</v>
      </c>
      <c r="R14" s="140">
        <f>'Absolute Volume'!R14/'Energy data by fuel cycle'!$G$4</f>
        <v>0</v>
      </c>
      <c r="S14" s="162">
        <f>'Absolute Volume'!S14/'Energy data by fuel cycle'!$G$4</f>
        <v>0</v>
      </c>
      <c r="T14" s="72"/>
    </row>
    <row r="15" spans="1:51" s="43" customFormat="1" ht="14" customHeight="1">
      <c r="A15" s="72"/>
      <c r="B15" s="755"/>
      <c r="C15" s="150" t="s">
        <v>10</v>
      </c>
      <c r="D15" s="143" t="s">
        <v>0</v>
      </c>
      <c r="E15" s="476">
        <f>'Absolute Volume'!E15/'Energy data by fuel cycle'!$G$4</f>
        <v>2.4785831425316418E-4</v>
      </c>
      <c r="F15" s="157">
        <f>'Absolute Volume'!F15/'Energy data by fuel cycle'!$G$4</f>
        <v>2.4785831425316418E-4</v>
      </c>
      <c r="G15" s="157">
        <f>'Absolute Volume'!G15/'Energy data by fuel cycle'!$G$4</f>
        <v>0</v>
      </c>
      <c r="H15" s="157">
        <f>'Absolute Volume'!H15/'Energy data by fuel cycle'!$G$4</f>
        <v>0</v>
      </c>
      <c r="I15" s="157">
        <f>'Absolute Volume'!I15/'Energy data by fuel cycle'!$G$4</f>
        <v>0</v>
      </c>
      <c r="J15" s="157">
        <f>'Absolute Volume'!J15/'Energy data by fuel cycle'!$G$4</f>
        <v>0</v>
      </c>
      <c r="K15" s="158">
        <f>'Absolute Volume'!K15/'Energy data by fuel cycle'!$G$4</f>
        <v>3.4965219535134009E-3</v>
      </c>
      <c r="L15" s="158">
        <f>'Absolute Volume'!L15/'Energy data by fuel cycle'!$G$4</f>
        <v>1.7521188406931457E-2</v>
      </c>
      <c r="M15" s="157">
        <f>'Absolute Volume'!M15/'Energy data by fuel cycle'!$G$4</f>
        <v>4.8359879985334793E-5</v>
      </c>
      <c r="N15" s="157">
        <f>'Absolute Volume'!N15/'Energy data by fuel cycle'!$G$4</f>
        <v>2.7699450898101831E-6</v>
      </c>
      <c r="O15" s="157">
        <f>'Absolute Volume'!O15/'Energy data by fuel cycle'!$G$4</f>
        <v>0</v>
      </c>
      <c r="P15" s="157">
        <f>'Absolute Volume'!P15/'Energy data by fuel cycle'!$G$4</f>
        <v>0</v>
      </c>
      <c r="Q15" s="78">
        <f>'Absolute Volume'!Q15/'Energy data by fuel cycle'!$G$4</f>
        <v>3.7927401477518999E-3</v>
      </c>
      <c r="R15" s="132">
        <f>'Absolute Volume'!R15/'Energy data by fuel cycle'!$G$4</f>
        <v>1.7771816666274431E-2</v>
      </c>
      <c r="S15" s="159">
        <f>'Absolute Volume'!S15/'Energy data by fuel cycle'!$G$4</f>
        <v>0</v>
      </c>
      <c r="T15" s="72"/>
    </row>
    <row r="16" spans="1:51" s="43" customFormat="1" ht="14" customHeight="1">
      <c r="A16" s="72"/>
      <c r="B16" s="755"/>
      <c r="C16" s="150" t="s">
        <v>10</v>
      </c>
      <c r="D16" s="134" t="s">
        <v>7</v>
      </c>
      <c r="E16" s="476">
        <f>'Absolute Volume'!E16/'Energy data by fuel cycle'!$G$4</f>
        <v>0</v>
      </c>
      <c r="F16" s="157">
        <f>'Absolute Volume'!F16/'Energy data by fuel cycle'!$G$4</f>
        <v>0</v>
      </c>
      <c r="G16" s="157">
        <f>'Absolute Volume'!G16/'Energy data by fuel cycle'!$G$4</f>
        <v>0</v>
      </c>
      <c r="H16" s="157">
        <f>'Absolute Volume'!H16/'Energy data by fuel cycle'!$G$4</f>
        <v>0</v>
      </c>
      <c r="I16" s="157">
        <f>'Absolute Volume'!I16/'Energy data by fuel cycle'!$G$4</f>
        <v>0</v>
      </c>
      <c r="J16" s="157">
        <f>'Absolute Volume'!J16/'Energy data by fuel cycle'!$G$4</f>
        <v>0</v>
      </c>
      <c r="K16" s="158">
        <f>'Absolute Volume'!K16/'Energy data by fuel cycle'!$G$4</f>
        <v>1.9233841952126724E-4</v>
      </c>
      <c r="L16" s="158">
        <f>'Absolute Volume'!L16/'Energy data by fuel cycle'!$G$4</f>
        <v>2.1622511520841365E-3</v>
      </c>
      <c r="M16" s="157">
        <f>'Absolute Volume'!M16/'Energy data by fuel cycle'!$G$4</f>
        <v>1.1408660081272799E-6</v>
      </c>
      <c r="N16" s="157">
        <f>'Absolute Volume'!N16/'Energy data by fuel cycle'!$G$4</f>
        <v>0</v>
      </c>
      <c r="O16" s="157">
        <f>'Absolute Volume'!O16/'Energy data by fuel cycle'!$G$4</f>
        <v>0</v>
      </c>
      <c r="P16" s="157">
        <f>'Absolute Volume'!P16/'Energy data by fuel cycle'!$G$4</f>
        <v>0</v>
      </c>
      <c r="Q16" s="78">
        <f>'Absolute Volume'!Q16/'Energy data by fuel cycle'!$G$4</f>
        <v>1.9347928552939452E-4</v>
      </c>
      <c r="R16" s="132">
        <f>'Absolute Volume'!R16/'Energy data by fuel cycle'!$G$4</f>
        <v>2.1622511520841365E-3</v>
      </c>
      <c r="S16" s="159">
        <f>'Absolute Volume'!S16/'Energy data by fuel cycle'!$G$4</f>
        <v>0</v>
      </c>
      <c r="T16" s="72"/>
    </row>
    <row r="17" spans="1:20" s="43" customFormat="1" ht="14" customHeight="1">
      <c r="A17" s="72"/>
      <c r="B17" s="755"/>
      <c r="C17" s="150" t="s">
        <v>10</v>
      </c>
      <c r="D17" s="135" t="s">
        <v>1</v>
      </c>
      <c r="E17" s="476">
        <f>'Absolute Volume'!E17/'Energy data by fuel cycle'!$G$4</f>
        <v>1.7209274789018125E-4</v>
      </c>
      <c r="F17" s="157">
        <f>'Absolute Volume'!F17/'Energy data by fuel cycle'!$G$4</f>
        <v>0</v>
      </c>
      <c r="G17" s="157">
        <f>'Absolute Volume'!G17/'Energy data by fuel cycle'!$G$4</f>
        <v>0</v>
      </c>
      <c r="H17" s="157">
        <f>'Absolute Volume'!H17/'Energy data by fuel cycle'!$G$4</f>
        <v>0</v>
      </c>
      <c r="I17" s="157">
        <f>'Absolute Volume'!I17/'Energy data by fuel cycle'!$G$4</f>
        <v>0</v>
      </c>
      <c r="J17" s="157">
        <f>'Absolute Volume'!J17/'Energy data by fuel cycle'!$G$4</f>
        <v>0</v>
      </c>
      <c r="K17" s="158">
        <f>'Absolute Volume'!K17/'Energy data by fuel cycle'!$G$4</f>
        <v>2.0837435373409857E-4</v>
      </c>
      <c r="L17" s="158">
        <f>'Absolute Volume'!L17/'Energy data by fuel cycle'!$G$4</f>
        <v>3.3018133753734947E-3</v>
      </c>
      <c r="M17" s="157">
        <f>'Absolute Volume'!M17/'Energy data by fuel cycle'!$G$4</f>
        <v>6.4736740783024462E-7</v>
      </c>
      <c r="N17" s="157">
        <f>'Absolute Volume'!N17/'Energy data by fuel cycle'!$G$4</f>
        <v>0</v>
      </c>
      <c r="O17" s="157">
        <f>'Absolute Volume'!O17/'Energy data by fuel cycle'!$G$4</f>
        <v>0</v>
      </c>
      <c r="P17" s="157">
        <f>'Absolute Volume'!P17/'Energy data by fuel cycle'!$G$4</f>
        <v>0</v>
      </c>
      <c r="Q17" s="78">
        <f>'Absolute Volume'!Q17/'Energy data by fuel cycle'!$G$4</f>
        <v>3.8111446903211002E-4</v>
      </c>
      <c r="R17" s="132">
        <f>'Absolute Volume'!R17/'Energy data by fuel cycle'!$G$4</f>
        <v>3.3018133753734947E-3</v>
      </c>
      <c r="S17" s="159">
        <f>'Absolute Volume'!S17/'Energy data by fuel cycle'!$G$4</f>
        <v>0</v>
      </c>
      <c r="T17" s="72"/>
    </row>
    <row r="18" spans="1:20" s="43" customFormat="1" ht="14" customHeight="1" thickBot="1">
      <c r="A18" s="72"/>
      <c r="B18" s="755"/>
      <c r="C18" s="150" t="s">
        <v>10</v>
      </c>
      <c r="D18" s="166" t="s">
        <v>13</v>
      </c>
      <c r="E18" s="476">
        <f>'Absolute Volume'!E18/'Energy data by fuel cycle'!$G$4</f>
        <v>6.7021462568119206E-5</v>
      </c>
      <c r="F18" s="157">
        <f>'Absolute Volume'!F18/'Energy data by fuel cycle'!$G$4</f>
        <v>0</v>
      </c>
      <c r="G18" s="157">
        <f>'Absolute Volume'!G18/'Energy data by fuel cycle'!$G$4</f>
        <v>0</v>
      </c>
      <c r="H18" s="157">
        <f>'Absolute Volume'!H18/'Energy data by fuel cycle'!$G$4</f>
        <v>0</v>
      </c>
      <c r="I18" s="157">
        <f>'Absolute Volume'!I18/'Energy data by fuel cycle'!$G$4</f>
        <v>0</v>
      </c>
      <c r="J18" s="157">
        <f>'Absolute Volume'!J18/'Energy data by fuel cycle'!$G$4</f>
        <v>0</v>
      </c>
      <c r="K18" s="158">
        <f>'Absolute Volume'!K18/'Energy data by fuel cycle'!$G$4</f>
        <v>0</v>
      </c>
      <c r="L18" s="158">
        <f>'Absolute Volume'!L18/'Energy data by fuel cycle'!$G$4</f>
        <v>0</v>
      </c>
      <c r="M18" s="157">
        <f>'Absolute Volume'!M18/'Energy data by fuel cycle'!$G$4</f>
        <v>0</v>
      </c>
      <c r="N18" s="157">
        <f>'Absolute Volume'!N18/'Energy data by fuel cycle'!$G$4</f>
        <v>0</v>
      </c>
      <c r="O18" s="157">
        <f>'Absolute Volume'!O18/'Energy data by fuel cycle'!$G$4</f>
        <v>0</v>
      </c>
      <c r="P18" s="157">
        <f>'Absolute Volume'!P18/'Energy data by fuel cycle'!$G$4</f>
        <v>0</v>
      </c>
      <c r="Q18" s="78">
        <f>'Absolute Volume'!Q18/'Energy data by fuel cycle'!$G$4</f>
        <v>6.7021462568119206E-5</v>
      </c>
      <c r="R18" s="132">
        <f>'Absolute Volume'!R18/'Energy data by fuel cycle'!$G$4</f>
        <v>0</v>
      </c>
      <c r="S18" s="159">
        <f>'Absolute Volume'!S18/'Energy data by fuel cycle'!$G$4</f>
        <v>0</v>
      </c>
      <c r="T18" s="72"/>
    </row>
    <row r="19" spans="1:20" s="11" customFormat="1" ht="30" customHeight="1" thickBot="1">
      <c r="A19" s="77"/>
      <c r="B19" s="771" t="s">
        <v>760</v>
      </c>
      <c r="C19" s="772"/>
      <c r="D19" s="772"/>
      <c r="E19" s="772"/>
      <c r="F19" s="772"/>
      <c r="G19" s="772"/>
      <c r="H19" s="772"/>
      <c r="I19" s="772"/>
      <c r="J19" s="772"/>
      <c r="K19" s="772"/>
      <c r="L19" s="772"/>
      <c r="M19" s="772"/>
      <c r="N19" s="772"/>
      <c r="O19" s="772"/>
      <c r="P19" s="772"/>
      <c r="Q19" s="772"/>
      <c r="R19" s="772"/>
      <c r="S19" s="773"/>
      <c r="T19" s="77"/>
    </row>
    <row r="20" spans="1:20" s="11" customFormat="1" ht="14" customHeight="1">
      <c r="A20" s="77"/>
      <c r="B20" s="755" t="s">
        <v>856</v>
      </c>
      <c r="C20" s="120"/>
      <c r="D20" s="120"/>
      <c r="E20" s="759" t="s">
        <v>591</v>
      </c>
      <c r="F20" s="760"/>
      <c r="G20" s="756" t="s">
        <v>66</v>
      </c>
      <c r="H20" s="756"/>
      <c r="I20" s="742" t="s">
        <v>67</v>
      </c>
      <c r="J20" s="742"/>
      <c r="K20" s="743" t="s">
        <v>68</v>
      </c>
      <c r="L20" s="743"/>
      <c r="M20" s="744" t="s">
        <v>69</v>
      </c>
      <c r="N20" s="744"/>
      <c r="O20" s="745" t="s">
        <v>413</v>
      </c>
      <c r="P20" s="745"/>
      <c r="Q20" s="121" t="s">
        <v>763</v>
      </c>
      <c r="R20" s="122" t="s">
        <v>763</v>
      </c>
      <c r="S20" s="123" t="s">
        <v>763</v>
      </c>
      <c r="T20" s="77"/>
    </row>
    <row r="21" spans="1:20" s="11" customFormat="1" ht="14" customHeight="1">
      <c r="A21" s="77"/>
      <c r="B21" s="755"/>
      <c r="C21" s="120"/>
      <c r="D21" s="120"/>
      <c r="E21" s="469" t="s">
        <v>209</v>
      </c>
      <c r="F21" s="414" t="s">
        <v>208</v>
      </c>
      <c r="G21" s="414" t="s">
        <v>209</v>
      </c>
      <c r="H21" s="414" t="s">
        <v>208</v>
      </c>
      <c r="I21" s="414" t="s">
        <v>209</v>
      </c>
      <c r="J21" s="414" t="s">
        <v>208</v>
      </c>
      <c r="K21" s="414" t="s">
        <v>209</v>
      </c>
      <c r="L21" s="414" t="s">
        <v>208</v>
      </c>
      <c r="M21" s="414" t="s">
        <v>209</v>
      </c>
      <c r="N21" s="414" t="s">
        <v>208</v>
      </c>
      <c r="O21" s="414" t="s">
        <v>209</v>
      </c>
      <c r="P21" s="414" t="s">
        <v>208</v>
      </c>
      <c r="Q21" s="121" t="s">
        <v>209</v>
      </c>
      <c r="R21" s="468" t="s">
        <v>208</v>
      </c>
      <c r="S21" s="123" t="s">
        <v>413</v>
      </c>
      <c r="T21" s="77"/>
    </row>
    <row r="22" spans="1:20" s="11" customFormat="1" ht="28" customHeight="1">
      <c r="A22" s="77"/>
      <c r="B22" s="755"/>
      <c r="C22" s="124" t="s">
        <v>761</v>
      </c>
      <c r="D22" s="125" t="s">
        <v>762</v>
      </c>
      <c r="E22" s="126">
        <f t="shared" ref="E22:S22" si="1">SUM(E23:E34)</f>
        <v>9.4091690833675065E-2</v>
      </c>
      <c r="F22" s="126">
        <f t="shared" si="1"/>
        <v>0.1795114224549772</v>
      </c>
      <c r="G22" s="126">
        <f t="shared" si="1"/>
        <v>0</v>
      </c>
      <c r="H22" s="126">
        <f t="shared" si="1"/>
        <v>0</v>
      </c>
      <c r="I22" s="126">
        <f t="shared" si="1"/>
        <v>4.7958388302817238E-3</v>
      </c>
      <c r="J22" s="126">
        <f t="shared" si="1"/>
        <v>4.9676008167184125E-3</v>
      </c>
      <c r="K22" s="126">
        <f t="shared" si="1"/>
        <v>1.3836843134644346E-2</v>
      </c>
      <c r="L22" s="126">
        <f t="shared" si="1"/>
        <v>9.516101513843872E-2</v>
      </c>
      <c r="M22" s="126">
        <f t="shared" si="1"/>
        <v>0</v>
      </c>
      <c r="N22" s="126">
        <f t="shared" si="1"/>
        <v>0</v>
      </c>
      <c r="O22" s="126">
        <f t="shared" si="1"/>
        <v>-3.2186459489456157E-2</v>
      </c>
      <c r="P22" s="126">
        <f t="shared" si="1"/>
        <v>-3.2186459489456157E-2</v>
      </c>
      <c r="Q22" s="79">
        <f t="shared" si="1"/>
        <v>0.11272437279860113</v>
      </c>
      <c r="R22" s="127">
        <f t="shared" si="1"/>
        <v>0.27964003841013435</v>
      </c>
      <c r="S22" s="128">
        <f t="shared" si="1"/>
        <v>-3.2186459489456157E-2</v>
      </c>
      <c r="T22" s="77"/>
    </row>
    <row r="23" spans="1:20" s="11" customFormat="1" ht="14" customHeight="1">
      <c r="A23" s="77"/>
      <c r="B23" s="755"/>
      <c r="C23" s="142" t="s">
        <v>9</v>
      </c>
      <c r="D23" s="143" t="s">
        <v>0</v>
      </c>
      <c r="E23" s="475">
        <f>'Absolute Volume'!E23/'Energy data by fuel cycle'!$G$5</f>
        <v>3.1362783145914043E-3</v>
      </c>
      <c r="F23" s="157">
        <f>'Absolute Volume'!F23/'Energy data by fuel cycle'!$G$5</f>
        <v>3.1362783145914043E-3</v>
      </c>
      <c r="G23" s="157">
        <f>'Absolute Volume'!G23/'Energy data by fuel cycle'!$G$5</f>
        <v>0</v>
      </c>
      <c r="H23" s="157">
        <f>'Absolute Volume'!H23/'Energy data by fuel cycle'!$G$5</f>
        <v>0</v>
      </c>
      <c r="I23" s="157">
        <f>'Absolute Volume'!I23/'Energy data by fuel cycle'!$G$5</f>
        <v>3.1377803351414572E-6</v>
      </c>
      <c r="J23" s="157">
        <f>'Absolute Volume'!J23/'Energy data by fuel cycle'!$G$5</f>
        <v>7.1842574909816701E-5</v>
      </c>
      <c r="K23" s="158">
        <f>'Absolute Volume'!K23/'Energy data by fuel cycle'!$G$5</f>
        <v>3.6416327039009576E-3</v>
      </c>
      <c r="L23" s="158">
        <f>'Absolute Volume'!L23/'Energy data by fuel cycle'!$G$5</f>
        <v>5.7049873931816096E-3</v>
      </c>
      <c r="M23" s="157">
        <f>'Absolute Volume'!M23/'Energy data by fuel cycle'!$G$5</f>
        <v>0</v>
      </c>
      <c r="N23" s="157">
        <f>'Absolute Volume'!N23/'Energy data by fuel cycle'!$G$5</f>
        <v>0</v>
      </c>
      <c r="O23" s="157">
        <f>'Absolute Volume'!O23/'Energy data by fuel cycle'!$G$5</f>
        <v>0</v>
      </c>
      <c r="P23" s="157">
        <f>'Absolute Volume'!P23/'Energy data by fuel cycle'!$G$5</f>
        <v>0</v>
      </c>
      <c r="Q23" s="78">
        <f>'Absolute Volume'!Q23/'Energy data by fuel cycle'!$G$5</f>
        <v>6.7810487988275037E-3</v>
      </c>
      <c r="R23" s="132">
        <f>'Absolute Volume'!R23/'Energy data by fuel cycle'!$G$5</f>
        <v>8.9131082826828315E-3</v>
      </c>
      <c r="S23" s="159">
        <f>'Absolute Volume'!S23/'Energy data by fuel cycle'!$G$5</f>
        <v>0</v>
      </c>
      <c r="T23" s="77"/>
    </row>
    <row r="24" spans="1:20" s="11" customFormat="1" ht="14" customHeight="1">
      <c r="A24" s="77"/>
      <c r="B24" s="755"/>
      <c r="C24" s="142" t="s">
        <v>9</v>
      </c>
      <c r="D24" s="134" t="s">
        <v>7</v>
      </c>
      <c r="E24" s="476">
        <f>'Absolute Volume'!E24/'Energy data by fuel cycle'!$G$5</f>
        <v>9.8834930463486386E-3</v>
      </c>
      <c r="F24" s="157">
        <f>'Absolute Volume'!F24/'Energy data by fuel cycle'!$G$5</f>
        <v>1.9127596281409663E-2</v>
      </c>
      <c r="G24" s="157">
        <f>'Absolute Volume'!G24/'Energy data by fuel cycle'!$G$5</f>
        <v>0</v>
      </c>
      <c r="H24" s="157">
        <f>'Absolute Volume'!H24/'Energy data by fuel cycle'!$G$5</f>
        <v>0</v>
      </c>
      <c r="I24" s="157">
        <f>'Absolute Volume'!I24/'Energy data by fuel cycle'!$G$5</f>
        <v>0</v>
      </c>
      <c r="J24" s="157">
        <f>'Absolute Volume'!J24/'Energy data by fuel cycle'!$G$5</f>
        <v>0</v>
      </c>
      <c r="K24" s="158">
        <f>'Absolute Volume'!K24/'Energy data by fuel cycle'!$G$5</f>
        <v>6.2955072684636301E-7</v>
      </c>
      <c r="L24" s="158">
        <f>'Absolute Volume'!L24/'Energy data by fuel cycle'!$G$5</f>
        <v>9.1699116176121198E-7</v>
      </c>
      <c r="M24" s="157">
        <f>'Absolute Volume'!M24/'Energy data by fuel cycle'!$G$5</f>
        <v>0</v>
      </c>
      <c r="N24" s="157">
        <f>'Absolute Volume'!N24/'Energy data by fuel cycle'!$G$5</f>
        <v>0</v>
      </c>
      <c r="O24" s="157">
        <f>'Absolute Volume'!O24/'Energy data by fuel cycle'!$G$5</f>
        <v>0</v>
      </c>
      <c r="P24" s="157">
        <f>'Absolute Volume'!P24/'Energy data by fuel cycle'!$G$5</f>
        <v>0</v>
      </c>
      <c r="Q24" s="78">
        <f>'Absolute Volume'!Q24/'Energy data by fuel cycle'!$G$5</f>
        <v>9.8841225970754867E-3</v>
      </c>
      <c r="R24" s="132">
        <f>'Absolute Volume'!R24/'Energy data by fuel cycle'!$G$5</f>
        <v>1.9128513272571424E-2</v>
      </c>
      <c r="S24" s="159">
        <f>'Absolute Volume'!S24/'Energy data by fuel cycle'!$G$5</f>
        <v>0</v>
      </c>
      <c r="T24" s="77"/>
    </row>
    <row r="25" spans="1:20" s="11" customFormat="1" ht="14" customHeight="1">
      <c r="A25" s="77"/>
      <c r="B25" s="755"/>
      <c r="C25" s="142" t="s">
        <v>9</v>
      </c>
      <c r="D25" s="135" t="s">
        <v>1</v>
      </c>
      <c r="E25" s="476">
        <f>'Absolute Volume'!E25/'Energy data by fuel cycle'!$G$5</f>
        <v>1.8673976382055812E-2</v>
      </c>
      <c r="F25" s="157">
        <f>'Absolute Volume'!F25/'Energy data by fuel cycle'!$G$5</f>
        <v>3.6267474546619521E-2</v>
      </c>
      <c r="G25" s="157">
        <f>'Absolute Volume'!G25/'Energy data by fuel cycle'!$G$5</f>
        <v>0</v>
      </c>
      <c r="H25" s="157">
        <f>'Absolute Volume'!H25/'Energy data by fuel cycle'!$G$5</f>
        <v>0</v>
      </c>
      <c r="I25" s="157">
        <f>'Absolute Volume'!I25/'Energy data by fuel cycle'!$G$5</f>
        <v>0</v>
      </c>
      <c r="J25" s="157">
        <f>'Absolute Volume'!J25/'Energy data by fuel cycle'!$G$5</f>
        <v>0</v>
      </c>
      <c r="K25" s="158">
        <f>'Absolute Volume'!K25/'Energy data by fuel cycle'!$G$5</f>
        <v>6.4524908928759928E-9</v>
      </c>
      <c r="L25" s="158">
        <f>'Absolute Volume'!L25/'Energy data by fuel cycle'!$G$5</f>
        <v>7.2448685044559814E-9</v>
      </c>
      <c r="M25" s="157">
        <f>'Absolute Volume'!M25/'Energy data by fuel cycle'!$G$5</f>
        <v>0</v>
      </c>
      <c r="N25" s="157">
        <f>'Absolute Volume'!N25/'Energy data by fuel cycle'!$G$5</f>
        <v>0</v>
      </c>
      <c r="O25" s="157">
        <f>'Absolute Volume'!O25/'Energy data by fuel cycle'!$G$5</f>
        <v>0</v>
      </c>
      <c r="P25" s="157">
        <f>'Absolute Volume'!P25/'Energy data by fuel cycle'!$G$5</f>
        <v>0</v>
      </c>
      <c r="Q25" s="78">
        <f>'Absolute Volume'!Q25/'Energy data by fuel cycle'!$G$5</f>
        <v>1.8673982834546705E-2</v>
      </c>
      <c r="R25" s="132">
        <f>'Absolute Volume'!R25/'Energy data by fuel cycle'!$G$5</f>
        <v>3.6267481791488025E-2</v>
      </c>
      <c r="S25" s="159">
        <f>'Absolute Volume'!S25/'Energy data by fuel cycle'!$G$5</f>
        <v>0</v>
      </c>
      <c r="T25" s="77"/>
    </row>
    <row r="26" spans="1:20" s="11" customFormat="1" ht="14" customHeight="1">
      <c r="A26" s="77"/>
      <c r="B26" s="755"/>
      <c r="C26" s="144" t="s">
        <v>9</v>
      </c>
      <c r="D26" s="145" t="s">
        <v>13</v>
      </c>
      <c r="E26" s="477">
        <f>'Absolute Volume'!E26/'Energy data by fuel cycle'!$G$5</f>
        <v>6.000597735871905E-2</v>
      </c>
      <c r="F26" s="163">
        <f>'Absolute Volume'!F26/'Energy data by fuel cycle'!$G$5</f>
        <v>0.11861410896977012</v>
      </c>
      <c r="G26" s="163">
        <f>'Absolute Volume'!G26/'Energy data by fuel cycle'!$G$5</f>
        <v>0</v>
      </c>
      <c r="H26" s="163">
        <f>'Absolute Volume'!H26/'Energy data by fuel cycle'!$G$5</f>
        <v>0</v>
      </c>
      <c r="I26" s="163">
        <f>'Absolute Volume'!I26/'Energy data by fuel cycle'!$G$5</f>
        <v>0</v>
      </c>
      <c r="J26" s="163">
        <f>'Absolute Volume'!J26/'Energy data by fuel cycle'!$G$5</f>
        <v>0</v>
      </c>
      <c r="K26" s="164">
        <f>'Absolute Volume'!K26/'Energy data by fuel cycle'!$G$5</f>
        <v>0</v>
      </c>
      <c r="L26" s="164">
        <f>'Absolute Volume'!L26/'Energy data by fuel cycle'!$G$5</f>
        <v>0</v>
      </c>
      <c r="M26" s="163">
        <f>'Absolute Volume'!M26/'Energy data by fuel cycle'!$G$5</f>
        <v>0</v>
      </c>
      <c r="N26" s="163">
        <f>'Absolute Volume'!N26/'Energy data by fuel cycle'!$G$5</f>
        <v>0</v>
      </c>
      <c r="O26" s="163">
        <f>'Absolute Volume'!O26/'Energy data by fuel cycle'!$G$5</f>
        <v>0</v>
      </c>
      <c r="P26" s="163">
        <f>'Absolute Volume'!P26/'Energy data by fuel cycle'!$G$5</f>
        <v>0</v>
      </c>
      <c r="Q26" s="147">
        <f>'Absolute Volume'!Q26/'Energy data by fuel cycle'!$G$5</f>
        <v>6.000597735871905E-2</v>
      </c>
      <c r="R26" s="148">
        <f>'Absolute Volume'!R26/'Energy data by fuel cycle'!$G$5</f>
        <v>0.11861410896977012</v>
      </c>
      <c r="S26" s="165">
        <f>'Absolute Volume'!S26/'Energy data by fuel cycle'!$G$5</f>
        <v>0</v>
      </c>
      <c r="T26" s="77"/>
    </row>
    <row r="27" spans="1:20" s="11" customFormat="1" ht="14" customHeight="1">
      <c r="A27" s="77"/>
      <c r="B27" s="755"/>
      <c r="C27" s="129" t="s">
        <v>8</v>
      </c>
      <c r="D27" s="130" t="s">
        <v>0</v>
      </c>
      <c r="E27" s="476">
        <f>'Absolute Volume'!E27/'Energy data by fuel cycle'!$G$5</f>
        <v>2.3659643425864981E-3</v>
      </c>
      <c r="F27" s="157">
        <f>'Absolute Volume'!F27/'Energy data by fuel cycle'!$G$5</f>
        <v>2.3659643425864981E-3</v>
      </c>
      <c r="G27" s="157">
        <f>'Absolute Volume'!G27/'Energy data by fuel cycle'!$G$5</f>
        <v>0</v>
      </c>
      <c r="H27" s="157">
        <f>'Absolute Volume'!H27/'Energy data by fuel cycle'!$G$5</f>
        <v>0</v>
      </c>
      <c r="I27" s="157">
        <f>'Absolute Volume'!I27/'Energy data by fuel cycle'!$G$5</f>
        <v>1.2551121340565829E-5</v>
      </c>
      <c r="J27" s="157">
        <f>'Absolute Volume'!J27/'Energy data by fuel cycle'!$G$5</f>
        <v>1.1560831320257869E-4</v>
      </c>
      <c r="K27" s="158">
        <f>'Absolute Volume'!K27/'Energy data by fuel cycle'!$G$5</f>
        <v>9.9601569712147748E-3</v>
      </c>
      <c r="L27" s="158">
        <f>'Absolute Volume'!L27/'Energy data by fuel cycle'!$G$5</f>
        <v>5.4184547076124641E-2</v>
      </c>
      <c r="M27" s="157">
        <f>'Absolute Volume'!M27/'Energy data by fuel cycle'!$G$5</f>
        <v>0</v>
      </c>
      <c r="N27" s="157">
        <f>'Absolute Volume'!N27/'Energy data by fuel cycle'!$G$5</f>
        <v>0</v>
      </c>
      <c r="O27" s="157">
        <f>'Absolute Volume'!O27/'Energy data by fuel cycle'!$G$5</f>
        <v>-3.2186459489456157E-2</v>
      </c>
      <c r="P27" s="157">
        <f>'Absolute Volume'!P27/'Energy data by fuel cycle'!$G$5</f>
        <v>-3.2186459489456157E-2</v>
      </c>
      <c r="Q27" s="78">
        <f>'Absolute Volume'!Q27/'Energy data by fuel cycle'!$G$5</f>
        <v>1.2338672435141839E-2</v>
      </c>
      <c r="R27" s="132">
        <f>'Absolute Volume'!R27/'Energy data by fuel cycle'!$G$5</f>
        <v>5.6666119731913718E-2</v>
      </c>
      <c r="S27" s="159">
        <f>'Absolute Volume'!S27/'Energy data by fuel cycle'!$G$5</f>
        <v>-3.2186459489456157E-2</v>
      </c>
      <c r="T27" s="77"/>
    </row>
    <row r="28" spans="1:20" s="11" customFormat="1" ht="14" customHeight="1">
      <c r="A28" s="77"/>
      <c r="B28" s="755"/>
      <c r="C28" s="129" t="s">
        <v>8</v>
      </c>
      <c r="D28" s="134" t="s">
        <v>7</v>
      </c>
      <c r="E28" s="476">
        <f>'Absolute Volume'!E28/'Energy data by fuel cycle'!$G$5</f>
        <v>0</v>
      </c>
      <c r="F28" s="157">
        <f>'Absolute Volume'!F28/'Energy data by fuel cycle'!$G$5</f>
        <v>0</v>
      </c>
      <c r="G28" s="157">
        <f>'Absolute Volume'!G28/'Energy data by fuel cycle'!$G$5</f>
        <v>0</v>
      </c>
      <c r="H28" s="157">
        <f>'Absolute Volume'!H28/'Energy data by fuel cycle'!$G$5</f>
        <v>0</v>
      </c>
      <c r="I28" s="157">
        <f>'Absolute Volume'!I28/'Energy data by fuel cycle'!$G$5</f>
        <v>0</v>
      </c>
      <c r="J28" s="157">
        <f>'Absolute Volume'!J28/'Energy data by fuel cycle'!$G$5</f>
        <v>0</v>
      </c>
      <c r="K28" s="158">
        <f>'Absolute Volume'!K28/'Energy data by fuel cycle'!$G$5</f>
        <v>3.9709494657842236E-5</v>
      </c>
      <c r="L28" s="158">
        <f>'Absolute Volume'!L28/'Energy data by fuel cycle'!$G$5</f>
        <v>3.8811264605516202E-3</v>
      </c>
      <c r="M28" s="157">
        <f>'Absolute Volume'!M28/'Energy data by fuel cycle'!$G$5</f>
        <v>0</v>
      </c>
      <c r="N28" s="157">
        <f>'Absolute Volume'!N28/'Energy data by fuel cycle'!$G$5</f>
        <v>0</v>
      </c>
      <c r="O28" s="157">
        <f>'Absolute Volume'!O28/'Energy data by fuel cycle'!$G$5</f>
        <v>0</v>
      </c>
      <c r="P28" s="157">
        <f>'Absolute Volume'!P28/'Energy data by fuel cycle'!$G$5</f>
        <v>0</v>
      </c>
      <c r="Q28" s="78">
        <f>'Absolute Volume'!Q28/'Energy data by fuel cycle'!$G$5</f>
        <v>3.9709494657842236E-5</v>
      </c>
      <c r="R28" s="132">
        <f>'Absolute Volume'!R28/'Energy data by fuel cycle'!$G$5</f>
        <v>3.8811264605516202E-3</v>
      </c>
      <c r="S28" s="159">
        <f>'Absolute Volume'!S28/'Energy data by fuel cycle'!$G$5</f>
        <v>0</v>
      </c>
      <c r="T28" s="77"/>
    </row>
    <row r="29" spans="1:20" s="11" customFormat="1" ht="14" customHeight="1">
      <c r="A29" s="77"/>
      <c r="B29" s="755"/>
      <c r="C29" s="129" t="s">
        <v>8</v>
      </c>
      <c r="D29" s="135" t="s">
        <v>1</v>
      </c>
      <c r="E29" s="476">
        <f>'Absolute Volume'!E29/'Energy data by fuel cycle'!$G$5</f>
        <v>0</v>
      </c>
      <c r="F29" s="157">
        <f>'Absolute Volume'!F29/'Energy data by fuel cycle'!$G$5</f>
        <v>0</v>
      </c>
      <c r="G29" s="157">
        <f>'Absolute Volume'!G29/'Energy data by fuel cycle'!$G$5</f>
        <v>0</v>
      </c>
      <c r="H29" s="157">
        <f>'Absolute Volume'!H29/'Energy data by fuel cycle'!$G$5</f>
        <v>0</v>
      </c>
      <c r="I29" s="157">
        <f>'Absolute Volume'!I29/'Energy data by fuel cycle'!$G$5</f>
        <v>4.7801499286060168E-3</v>
      </c>
      <c r="J29" s="157">
        <f>'Absolute Volume'!J29/'Energy data by fuel cycle'!$G$5</f>
        <v>4.7801499286060168E-3</v>
      </c>
      <c r="K29" s="158">
        <f>'Absolute Volume'!K29/'Energy data by fuel cycle'!$G$5</f>
        <v>1.7720473138660092E-4</v>
      </c>
      <c r="L29" s="158">
        <f>'Absolute Volume'!L29/'Energy data by fuel cycle'!$G$5</f>
        <v>3.1263780138764546E-2</v>
      </c>
      <c r="M29" s="157">
        <f>'Absolute Volume'!M29/'Energy data by fuel cycle'!$G$5</f>
        <v>0</v>
      </c>
      <c r="N29" s="157">
        <f>'Absolute Volume'!N29/'Energy data by fuel cycle'!$G$5</f>
        <v>0</v>
      </c>
      <c r="O29" s="157">
        <f>'Absolute Volume'!O29/'Energy data by fuel cycle'!$G$5</f>
        <v>0</v>
      </c>
      <c r="P29" s="157">
        <f>'Absolute Volume'!P29/'Energy data by fuel cycle'!$G$5</f>
        <v>0</v>
      </c>
      <c r="Q29" s="78">
        <f>'Absolute Volume'!Q29/'Energy data by fuel cycle'!$G$5</f>
        <v>4.9573546599926185E-3</v>
      </c>
      <c r="R29" s="132">
        <f>'Absolute Volume'!R29/'Energy data by fuel cycle'!$G$5</f>
        <v>3.6043930067370562E-2</v>
      </c>
      <c r="S29" s="159">
        <f>'Absolute Volume'!S29/'Energy data by fuel cycle'!$G$5</f>
        <v>0</v>
      </c>
      <c r="T29" s="77"/>
    </row>
    <row r="30" spans="1:20" s="11" customFormat="1" ht="14" customHeight="1">
      <c r="A30" s="77"/>
      <c r="B30" s="755"/>
      <c r="C30" s="136" t="s">
        <v>8</v>
      </c>
      <c r="D30" s="137" t="s">
        <v>13</v>
      </c>
      <c r="E30" s="478">
        <f>'Absolute Volume'!E30/'Energy data by fuel cycle'!$G$5</f>
        <v>0</v>
      </c>
      <c r="F30" s="160">
        <f>'Absolute Volume'!F30/'Energy data by fuel cycle'!$G$5</f>
        <v>0</v>
      </c>
      <c r="G30" s="160">
        <f>'Absolute Volume'!G30/'Energy data by fuel cycle'!$G$5</f>
        <v>0</v>
      </c>
      <c r="H30" s="160">
        <f>'Absolute Volume'!H30/'Energy data by fuel cycle'!$G$5</f>
        <v>0</v>
      </c>
      <c r="I30" s="160">
        <f>'Absolute Volume'!I30/'Energy data by fuel cycle'!$G$5</f>
        <v>0</v>
      </c>
      <c r="J30" s="160">
        <f>'Absolute Volume'!J30/'Energy data by fuel cycle'!$G$5</f>
        <v>0</v>
      </c>
      <c r="K30" s="161">
        <f>'Absolute Volume'!K30/'Energy data by fuel cycle'!$G$5</f>
        <v>0</v>
      </c>
      <c r="L30" s="161">
        <f>'Absolute Volume'!L30/'Energy data by fuel cycle'!$G$5</f>
        <v>0</v>
      </c>
      <c r="M30" s="160">
        <f>'Absolute Volume'!M30/'Energy data by fuel cycle'!$G$5</f>
        <v>0</v>
      </c>
      <c r="N30" s="160">
        <f>'Absolute Volume'!N30/'Energy data by fuel cycle'!$G$5</f>
        <v>0</v>
      </c>
      <c r="O30" s="160">
        <f>'Absolute Volume'!O30/'Energy data by fuel cycle'!$G$5</f>
        <v>0</v>
      </c>
      <c r="P30" s="160">
        <f>'Absolute Volume'!P30/'Energy data by fuel cycle'!$G$5</f>
        <v>0</v>
      </c>
      <c r="Q30" s="139">
        <f>'Absolute Volume'!Q30/'Energy data by fuel cycle'!$G$5</f>
        <v>0</v>
      </c>
      <c r="R30" s="140">
        <f>'Absolute Volume'!R30/'Energy data by fuel cycle'!$G$5</f>
        <v>0</v>
      </c>
      <c r="S30" s="162">
        <f>'Absolute Volume'!S30/'Energy data by fuel cycle'!$G$5</f>
        <v>0</v>
      </c>
      <c r="T30" s="77"/>
    </row>
    <row r="31" spans="1:20" s="11" customFormat="1" ht="14" customHeight="1">
      <c r="A31" s="77"/>
      <c r="B31" s="755"/>
      <c r="C31" s="150" t="s">
        <v>10</v>
      </c>
      <c r="D31" s="143" t="s">
        <v>0</v>
      </c>
      <c r="E31" s="476">
        <f>'Absolute Volume'!E31/'Energy data by fuel cycle'!$G$5</f>
        <v>0</v>
      </c>
      <c r="F31" s="157">
        <f>'Absolute Volume'!F31/'Energy data by fuel cycle'!$G$5</f>
        <v>0</v>
      </c>
      <c r="G31" s="157">
        <f>'Absolute Volume'!G31/'Energy data by fuel cycle'!$G$5</f>
        <v>0</v>
      </c>
      <c r="H31" s="157">
        <f>'Absolute Volume'!H31/'Energy data by fuel cycle'!$G$5</f>
        <v>0</v>
      </c>
      <c r="I31" s="157">
        <f>'Absolute Volume'!I31/'Energy data by fuel cycle'!$G$5</f>
        <v>0</v>
      </c>
      <c r="J31" s="157">
        <f>'Absolute Volume'!J31/'Energy data by fuel cycle'!$G$5</f>
        <v>0</v>
      </c>
      <c r="K31" s="158">
        <f>'Absolute Volume'!K31/'Energy data by fuel cycle'!$G$5</f>
        <v>1.3882818456511612E-5</v>
      </c>
      <c r="L31" s="158">
        <f>'Absolute Volume'!L31/'Energy data by fuel cycle'!$G$5</f>
        <v>6.5310125033075158E-5</v>
      </c>
      <c r="M31" s="157">
        <f>'Absolute Volume'!M31/'Energy data by fuel cycle'!$G$5</f>
        <v>0</v>
      </c>
      <c r="N31" s="157">
        <f>'Absolute Volume'!N31/'Energy data by fuel cycle'!$G$5</f>
        <v>0</v>
      </c>
      <c r="O31" s="157">
        <f>'Absolute Volume'!O31/'Energy data by fuel cycle'!$G$5</f>
        <v>0</v>
      </c>
      <c r="P31" s="157">
        <f>'Absolute Volume'!P31/'Energy data by fuel cycle'!$G$5</f>
        <v>0</v>
      </c>
      <c r="Q31" s="78">
        <f>'Absolute Volume'!Q31/'Energy data by fuel cycle'!$G$5</f>
        <v>1.3882818456511612E-5</v>
      </c>
      <c r="R31" s="132">
        <f>'Absolute Volume'!R31/'Energy data by fuel cycle'!$G$5</f>
        <v>6.5310125033075158E-5</v>
      </c>
      <c r="S31" s="159">
        <f>'Absolute Volume'!S31/'Energy data by fuel cycle'!$G$5</f>
        <v>0</v>
      </c>
      <c r="T31" s="77"/>
    </row>
    <row r="32" spans="1:20" s="11" customFormat="1" ht="14" customHeight="1">
      <c r="A32" s="77"/>
      <c r="B32" s="755"/>
      <c r="C32" s="150" t="s">
        <v>10</v>
      </c>
      <c r="D32" s="134" t="s">
        <v>7</v>
      </c>
      <c r="E32" s="476">
        <f>'Absolute Volume'!E32/'Energy data by fuel cycle'!$G$5</f>
        <v>0</v>
      </c>
      <c r="F32" s="157">
        <f>'Absolute Volume'!F32/'Energy data by fuel cycle'!$G$5</f>
        <v>0</v>
      </c>
      <c r="G32" s="157">
        <f>'Absolute Volume'!G32/'Energy data by fuel cycle'!$G$5</f>
        <v>0</v>
      </c>
      <c r="H32" s="157">
        <f>'Absolute Volume'!H32/'Energy data by fuel cycle'!$G$5</f>
        <v>0</v>
      </c>
      <c r="I32" s="157">
        <f>'Absolute Volume'!I32/'Energy data by fuel cycle'!$G$5</f>
        <v>0</v>
      </c>
      <c r="J32" s="157">
        <f>'Absolute Volume'!J32/'Energy data by fuel cycle'!$G$5</f>
        <v>0</v>
      </c>
      <c r="K32" s="158">
        <f>'Absolute Volume'!K32/'Energy data by fuel cycle'!$G$5</f>
        <v>7.4439027776847573E-7</v>
      </c>
      <c r="L32" s="158">
        <f>'Absolute Volume'!L32/'Energy data by fuel cycle'!$G$5</f>
        <v>6.7057526614479918E-6</v>
      </c>
      <c r="M32" s="157">
        <f>'Absolute Volume'!M32/'Energy data by fuel cycle'!$G$5</f>
        <v>0</v>
      </c>
      <c r="N32" s="157">
        <f>'Absolute Volume'!N32/'Energy data by fuel cycle'!$G$5</f>
        <v>0</v>
      </c>
      <c r="O32" s="157">
        <f>'Absolute Volume'!O32/'Energy data by fuel cycle'!$G$5</f>
        <v>0</v>
      </c>
      <c r="P32" s="157">
        <f>'Absolute Volume'!P32/'Energy data by fuel cycle'!$G$5</f>
        <v>0</v>
      </c>
      <c r="Q32" s="78">
        <f>'Absolute Volume'!Q32/'Energy data by fuel cycle'!$G$5</f>
        <v>7.4439027776847573E-7</v>
      </c>
      <c r="R32" s="132">
        <f>'Absolute Volume'!R32/'Energy data by fuel cycle'!$G$5</f>
        <v>6.7057526614479918E-6</v>
      </c>
      <c r="S32" s="159">
        <f>'Absolute Volume'!S32/'Energy data by fuel cycle'!$G$5</f>
        <v>0</v>
      </c>
      <c r="T32" s="77"/>
    </row>
    <row r="33" spans="1:20" s="11" customFormat="1" ht="14" customHeight="1">
      <c r="A33" s="77"/>
      <c r="B33" s="755"/>
      <c r="C33" s="150" t="s">
        <v>10</v>
      </c>
      <c r="D33" s="135" t="s">
        <v>1</v>
      </c>
      <c r="E33" s="476">
        <f>'Absolute Volume'!E33/'Energy data by fuel cycle'!$G$5</f>
        <v>2.6001389373669602E-5</v>
      </c>
      <c r="F33" s="157">
        <f>'Absolute Volume'!F33/'Energy data by fuel cycle'!$G$5</f>
        <v>0</v>
      </c>
      <c r="G33" s="157">
        <f>'Absolute Volume'!G33/'Energy data by fuel cycle'!$G$5</f>
        <v>0</v>
      </c>
      <c r="H33" s="157">
        <f>'Absolute Volume'!H33/'Energy data by fuel cycle'!$G$5</f>
        <v>0</v>
      </c>
      <c r="I33" s="157">
        <f>'Absolute Volume'!I33/'Energy data by fuel cycle'!$G$5</f>
        <v>0</v>
      </c>
      <c r="J33" s="157">
        <f>'Absolute Volume'!J33/'Energy data by fuel cycle'!$G$5</f>
        <v>0</v>
      </c>
      <c r="K33" s="158">
        <f>'Absolute Volume'!K33/'Energy data by fuel cycle'!$G$5</f>
        <v>2.8760215321492466E-6</v>
      </c>
      <c r="L33" s="158">
        <f>'Absolute Volume'!L33/'Energy data by fuel cycle'!$G$5</f>
        <v>5.3633956091514234E-5</v>
      </c>
      <c r="M33" s="157">
        <f>'Absolute Volume'!M33/'Energy data by fuel cycle'!$G$5</f>
        <v>0</v>
      </c>
      <c r="N33" s="157">
        <f>'Absolute Volume'!N33/'Energy data by fuel cycle'!$G$5</f>
        <v>0</v>
      </c>
      <c r="O33" s="157">
        <f>'Absolute Volume'!O33/'Energy data by fuel cycle'!$G$5</f>
        <v>0</v>
      </c>
      <c r="P33" s="157">
        <f>'Absolute Volume'!P33/'Energy data by fuel cycle'!$G$5</f>
        <v>0</v>
      </c>
      <c r="Q33" s="78">
        <f>'Absolute Volume'!Q33/'Energy data by fuel cycle'!$G$5</f>
        <v>2.887741090581885E-5</v>
      </c>
      <c r="R33" s="132">
        <f>'Absolute Volume'!R33/'Energy data by fuel cycle'!$G$5</f>
        <v>5.3633956091514234E-5</v>
      </c>
      <c r="S33" s="159">
        <f>'Absolute Volume'!S33/'Energy data by fuel cycle'!$G$5</f>
        <v>0</v>
      </c>
      <c r="T33" s="77"/>
    </row>
    <row r="34" spans="1:20" s="11" customFormat="1" ht="14" customHeight="1" thickBot="1">
      <c r="A34" s="77"/>
      <c r="B34" s="755"/>
      <c r="C34" s="150" t="s">
        <v>10</v>
      </c>
      <c r="D34" s="166" t="s">
        <v>13</v>
      </c>
      <c r="E34" s="476">
        <f>'Absolute Volume'!E34/'Energy data by fuel cycle'!$G$5</f>
        <v>0</v>
      </c>
      <c r="F34" s="157">
        <f>'Absolute Volume'!F34/'Energy data by fuel cycle'!$G$5</f>
        <v>0</v>
      </c>
      <c r="G34" s="157">
        <f>'Absolute Volume'!G34/'Energy data by fuel cycle'!$G$5</f>
        <v>0</v>
      </c>
      <c r="H34" s="157">
        <f>'Absolute Volume'!H34/'Energy data by fuel cycle'!$G$5</f>
        <v>0</v>
      </c>
      <c r="I34" s="157">
        <f>'Absolute Volume'!I34/'Energy data by fuel cycle'!$G$5</f>
        <v>0</v>
      </c>
      <c r="J34" s="157">
        <f>'Absolute Volume'!J34/'Energy data by fuel cycle'!$G$5</f>
        <v>0</v>
      </c>
      <c r="K34" s="158">
        <f>'Absolute Volume'!K34/'Energy data by fuel cycle'!$G$5</f>
        <v>0</v>
      </c>
      <c r="L34" s="158">
        <f>'Absolute Volume'!L34/'Energy data by fuel cycle'!$G$5</f>
        <v>0</v>
      </c>
      <c r="M34" s="157">
        <f>'Absolute Volume'!M34/'Energy data by fuel cycle'!$G$5</f>
        <v>0</v>
      </c>
      <c r="N34" s="157">
        <f>'Absolute Volume'!N34/'Energy data by fuel cycle'!$G$5</f>
        <v>0</v>
      </c>
      <c r="O34" s="157">
        <f>'Absolute Volume'!O34/'Energy data by fuel cycle'!$G$5</f>
        <v>0</v>
      </c>
      <c r="P34" s="157">
        <f>'Absolute Volume'!P34/'Energy data by fuel cycle'!$G$5</f>
        <v>0</v>
      </c>
      <c r="Q34" s="78">
        <f>'Absolute Volume'!Q34/'Energy data by fuel cycle'!$G$5</f>
        <v>0</v>
      </c>
      <c r="R34" s="132">
        <f>'Absolute Volume'!R34/'Energy data by fuel cycle'!$G$5</f>
        <v>0</v>
      </c>
      <c r="S34" s="159">
        <f>'Absolute Volume'!S34/'Energy data by fuel cycle'!$G$5</f>
        <v>0</v>
      </c>
      <c r="T34" s="77"/>
    </row>
    <row r="35" spans="1:20" s="11" customFormat="1" ht="30" customHeight="1" thickBot="1">
      <c r="A35" s="77"/>
      <c r="B35" s="746" t="s">
        <v>21</v>
      </c>
      <c r="C35" s="747"/>
      <c r="D35" s="747"/>
      <c r="E35" s="747"/>
      <c r="F35" s="747"/>
      <c r="G35" s="747"/>
      <c r="H35" s="747"/>
      <c r="I35" s="747"/>
      <c r="J35" s="747"/>
      <c r="K35" s="747"/>
      <c r="L35" s="747"/>
      <c r="M35" s="747"/>
      <c r="N35" s="747"/>
      <c r="O35" s="747"/>
      <c r="P35" s="747"/>
      <c r="Q35" s="747"/>
      <c r="R35" s="747"/>
      <c r="S35" s="748"/>
      <c r="T35" s="77"/>
    </row>
    <row r="36" spans="1:20" s="11" customFormat="1" ht="14" customHeight="1">
      <c r="A36" s="77"/>
      <c r="B36" s="755" t="s">
        <v>856</v>
      </c>
      <c r="C36" s="120"/>
      <c r="D36" s="156"/>
      <c r="E36" s="759" t="s">
        <v>591</v>
      </c>
      <c r="F36" s="760"/>
      <c r="G36" s="756" t="s">
        <v>66</v>
      </c>
      <c r="H36" s="756"/>
      <c r="I36" s="742" t="s">
        <v>67</v>
      </c>
      <c r="J36" s="742"/>
      <c r="K36" s="743" t="s">
        <v>68</v>
      </c>
      <c r="L36" s="743"/>
      <c r="M36" s="744" t="s">
        <v>69</v>
      </c>
      <c r="N36" s="744"/>
      <c r="O36" s="745" t="s">
        <v>413</v>
      </c>
      <c r="P36" s="745"/>
      <c r="Q36" s="121" t="s">
        <v>763</v>
      </c>
      <c r="R36" s="122" t="s">
        <v>763</v>
      </c>
      <c r="S36" s="123" t="s">
        <v>763</v>
      </c>
      <c r="T36" s="77"/>
    </row>
    <row r="37" spans="1:20" s="11" customFormat="1" ht="14" customHeight="1">
      <c r="A37" s="77"/>
      <c r="B37" s="755"/>
      <c r="C37" s="120"/>
      <c r="D37" s="156"/>
      <c r="E37" s="469" t="s">
        <v>209</v>
      </c>
      <c r="F37" s="414" t="s">
        <v>208</v>
      </c>
      <c r="G37" s="414" t="s">
        <v>209</v>
      </c>
      <c r="H37" s="414" t="s">
        <v>208</v>
      </c>
      <c r="I37" s="414" t="s">
        <v>209</v>
      </c>
      <c r="J37" s="414" t="s">
        <v>208</v>
      </c>
      <c r="K37" s="414" t="s">
        <v>209</v>
      </c>
      <c r="L37" s="414" t="s">
        <v>208</v>
      </c>
      <c r="M37" s="414" t="s">
        <v>209</v>
      </c>
      <c r="N37" s="414" t="s">
        <v>208</v>
      </c>
      <c r="O37" s="414" t="s">
        <v>209</v>
      </c>
      <c r="P37" s="414" t="s">
        <v>208</v>
      </c>
      <c r="Q37" s="121" t="s">
        <v>209</v>
      </c>
      <c r="R37" s="468" t="s">
        <v>208</v>
      </c>
      <c r="S37" s="123" t="s">
        <v>413</v>
      </c>
      <c r="T37" s="77"/>
    </row>
    <row r="38" spans="1:20" s="11" customFormat="1" ht="28" customHeight="1">
      <c r="A38" s="77"/>
      <c r="B38" s="755"/>
      <c r="C38" s="124" t="s">
        <v>761</v>
      </c>
      <c r="D38" s="125" t="s">
        <v>762</v>
      </c>
      <c r="E38" s="126">
        <f t="shared" ref="E38:S38" si="2">SUM(E39:E50)</f>
        <v>2.1519306011887028E-2</v>
      </c>
      <c r="F38" s="126">
        <f t="shared" si="2"/>
        <v>2.1519306011887025E-2</v>
      </c>
      <c r="G38" s="126">
        <f t="shared" si="2"/>
        <v>0</v>
      </c>
      <c r="H38" s="126">
        <f t="shared" si="2"/>
        <v>0</v>
      </c>
      <c r="I38" s="126">
        <f t="shared" si="2"/>
        <v>1.5688901675707287E-5</v>
      </c>
      <c r="J38" s="126">
        <f t="shared" si="2"/>
        <v>1.874508881123954E-4</v>
      </c>
      <c r="K38" s="126">
        <f t="shared" si="2"/>
        <v>1.3836843134644346E-2</v>
      </c>
      <c r="L38" s="126">
        <f t="shared" si="2"/>
        <v>9.516101513843872E-2</v>
      </c>
      <c r="M38" s="126">
        <f t="shared" si="2"/>
        <v>0</v>
      </c>
      <c r="N38" s="126">
        <f t="shared" si="2"/>
        <v>0</v>
      </c>
      <c r="O38" s="126">
        <f t="shared" si="2"/>
        <v>-3.2186459489456164E-2</v>
      </c>
      <c r="P38" s="126">
        <f t="shared" si="2"/>
        <v>-3.2186459489456164E-2</v>
      </c>
      <c r="Q38" s="79">
        <f t="shared" si="2"/>
        <v>3.5371838048207073E-2</v>
      </c>
      <c r="R38" s="127">
        <f t="shared" si="2"/>
        <v>0.11686777203843814</v>
      </c>
      <c r="S38" s="128">
        <f t="shared" si="2"/>
        <v>-3.2186459489456164E-2</v>
      </c>
      <c r="T38" s="77"/>
    </row>
    <row r="39" spans="1:20" s="11" customFormat="1" ht="14" customHeight="1">
      <c r="A39" s="77"/>
      <c r="B39" s="755"/>
      <c r="C39" s="142" t="s">
        <v>9</v>
      </c>
      <c r="D39" s="143" t="s">
        <v>0</v>
      </c>
      <c r="E39" s="475">
        <f>'Absolute Volume'!E39/'Energy data by fuel cycle'!$G$6</f>
        <v>7.9083084351600393E-3</v>
      </c>
      <c r="F39" s="157">
        <f>'Absolute Volume'!F39/'Energy data by fuel cycle'!$G$6</f>
        <v>7.9083084351600393E-3</v>
      </c>
      <c r="G39" s="157">
        <f>'Absolute Volume'!G39/'Energy data by fuel cycle'!$G$6</f>
        <v>0</v>
      </c>
      <c r="H39" s="157">
        <f>'Absolute Volume'!H39/'Energy data by fuel cycle'!$G$6</f>
        <v>0</v>
      </c>
      <c r="I39" s="157">
        <f>'Absolute Volume'!I39/'Energy data by fuel cycle'!$G$6</f>
        <v>3.1377803351414577E-6</v>
      </c>
      <c r="J39" s="157">
        <f>'Absolute Volume'!J39/'Energy data by fuel cycle'!$G$6</f>
        <v>7.1842574909816714E-5</v>
      </c>
      <c r="K39" s="158">
        <f>'Absolute Volume'!K39/'Energy data by fuel cycle'!$G$6</f>
        <v>3.6416327039009576E-3</v>
      </c>
      <c r="L39" s="158">
        <f>'Absolute Volume'!L39/'Energy data by fuel cycle'!$G$6</f>
        <v>5.7049873931816087E-3</v>
      </c>
      <c r="M39" s="157">
        <f>'Absolute Volume'!M39/'Energy data by fuel cycle'!$G$6</f>
        <v>0</v>
      </c>
      <c r="N39" s="157">
        <f>'Absolute Volume'!N39/'Energy data by fuel cycle'!$G$6</f>
        <v>0</v>
      </c>
      <c r="O39" s="157">
        <f>'Absolute Volume'!O39/'Energy data by fuel cycle'!$G$6</f>
        <v>0</v>
      </c>
      <c r="P39" s="157">
        <f>'Absolute Volume'!P39/'Energy data by fuel cycle'!$G$6</f>
        <v>0</v>
      </c>
      <c r="Q39" s="78">
        <f>'Absolute Volume'!Q39/'Energy data by fuel cycle'!$G$6</f>
        <v>1.1553078919396139E-2</v>
      </c>
      <c r="R39" s="132">
        <f>'Absolute Volume'!R39/'Energy data by fuel cycle'!$G$6</f>
        <v>1.3685138403251463E-2</v>
      </c>
      <c r="S39" s="159">
        <f>'Absolute Volume'!S39/'Energy data by fuel cycle'!$G$6</f>
        <v>0</v>
      </c>
      <c r="T39" s="77"/>
    </row>
    <row r="40" spans="1:20" s="11" customFormat="1" ht="14" customHeight="1">
      <c r="A40" s="77"/>
      <c r="B40" s="755"/>
      <c r="C40" s="142" t="s">
        <v>9</v>
      </c>
      <c r="D40" s="134" t="s">
        <v>7</v>
      </c>
      <c r="E40" s="476">
        <f>'Absolute Volume'!E40/'Energy data by fuel cycle'!$G$6</f>
        <v>0</v>
      </c>
      <c r="F40" s="157">
        <f>'Absolute Volume'!F40/'Energy data by fuel cycle'!$G$6</f>
        <v>0</v>
      </c>
      <c r="G40" s="157">
        <f>'Absolute Volume'!G40/'Energy data by fuel cycle'!$G$6</f>
        <v>0</v>
      </c>
      <c r="H40" s="157">
        <f>'Absolute Volume'!H40/'Energy data by fuel cycle'!$G$6</f>
        <v>0</v>
      </c>
      <c r="I40" s="157">
        <f>'Absolute Volume'!I40/'Energy data by fuel cycle'!$G$6</f>
        <v>0</v>
      </c>
      <c r="J40" s="157">
        <f>'Absolute Volume'!J40/'Energy data by fuel cycle'!$G$6</f>
        <v>0</v>
      </c>
      <c r="K40" s="158">
        <f>'Absolute Volume'!K40/'Energy data by fuel cycle'!$G$6</f>
        <v>6.2955072684636301E-7</v>
      </c>
      <c r="L40" s="158">
        <f>'Absolute Volume'!L40/'Energy data by fuel cycle'!$G$6</f>
        <v>9.1699116176121198E-7</v>
      </c>
      <c r="M40" s="157">
        <f>'Absolute Volume'!M40/'Energy data by fuel cycle'!$G$6</f>
        <v>0</v>
      </c>
      <c r="N40" s="157">
        <f>'Absolute Volume'!N40/'Energy data by fuel cycle'!$G$6</f>
        <v>0</v>
      </c>
      <c r="O40" s="157">
        <f>'Absolute Volume'!O40/'Energy data by fuel cycle'!$G$6</f>
        <v>0</v>
      </c>
      <c r="P40" s="157">
        <f>'Absolute Volume'!P40/'Energy data by fuel cycle'!$G$6</f>
        <v>0</v>
      </c>
      <c r="Q40" s="78">
        <f>'Absolute Volume'!Q40/'Energy data by fuel cycle'!$G$6</f>
        <v>6.2955072684636301E-7</v>
      </c>
      <c r="R40" s="132">
        <f>'Absolute Volume'!R40/'Energy data by fuel cycle'!$G$6</f>
        <v>9.1699116176121198E-7</v>
      </c>
      <c r="S40" s="159">
        <f>'Absolute Volume'!S40/'Energy data by fuel cycle'!$G$6</f>
        <v>0</v>
      </c>
      <c r="T40" s="77"/>
    </row>
    <row r="41" spans="1:20" s="11" customFormat="1" ht="14" customHeight="1">
      <c r="A41" s="77"/>
      <c r="B41" s="755"/>
      <c r="C41" s="142" t="s">
        <v>9</v>
      </c>
      <c r="D41" s="135" t="s">
        <v>1</v>
      </c>
      <c r="E41" s="476">
        <f>'Absolute Volume'!E41/'Energy data by fuel cycle'!$G$6</f>
        <v>0</v>
      </c>
      <c r="F41" s="157">
        <f>'Absolute Volume'!F41/'Energy data by fuel cycle'!$G$6</f>
        <v>2.3063518233978054E-4</v>
      </c>
      <c r="G41" s="157">
        <f>'Absolute Volume'!G41/'Energy data by fuel cycle'!$G$6</f>
        <v>0</v>
      </c>
      <c r="H41" s="157">
        <f>'Absolute Volume'!H41/'Energy data by fuel cycle'!$G$6</f>
        <v>0</v>
      </c>
      <c r="I41" s="157">
        <f>'Absolute Volume'!I41/'Energy data by fuel cycle'!$G$6</f>
        <v>0</v>
      </c>
      <c r="J41" s="157">
        <f>'Absolute Volume'!J41/'Energy data by fuel cycle'!$G$6</f>
        <v>0</v>
      </c>
      <c r="K41" s="158">
        <f>'Absolute Volume'!K41/'Energy data by fuel cycle'!$G$6</f>
        <v>6.4524908928759936E-9</v>
      </c>
      <c r="L41" s="158">
        <f>'Absolute Volume'!L41/'Energy data by fuel cycle'!$G$6</f>
        <v>7.2448685044559822E-9</v>
      </c>
      <c r="M41" s="157">
        <f>'Absolute Volume'!M41/'Energy data by fuel cycle'!$G$6</f>
        <v>0</v>
      </c>
      <c r="N41" s="157">
        <f>'Absolute Volume'!N41/'Energy data by fuel cycle'!$G$6</f>
        <v>0</v>
      </c>
      <c r="O41" s="157">
        <f>'Absolute Volume'!O41/'Energy data by fuel cycle'!$G$6</f>
        <v>0</v>
      </c>
      <c r="P41" s="157">
        <f>'Absolute Volume'!P41/'Energy data by fuel cycle'!$G$6</f>
        <v>0</v>
      </c>
      <c r="Q41" s="78">
        <f>'Absolute Volume'!Q41/'Energy data by fuel cycle'!$G$6</f>
        <v>6.4524908928759936E-9</v>
      </c>
      <c r="R41" s="132">
        <f>'Absolute Volume'!R41/'Energy data by fuel cycle'!$G$6</f>
        <v>2.30642427208285E-4</v>
      </c>
      <c r="S41" s="159">
        <f>'Absolute Volume'!S41/'Energy data by fuel cycle'!$G$6</f>
        <v>0</v>
      </c>
      <c r="T41" s="77"/>
    </row>
    <row r="42" spans="1:20" s="11" customFormat="1" ht="14" customHeight="1">
      <c r="A42" s="77"/>
      <c r="B42" s="755"/>
      <c r="C42" s="144" t="s">
        <v>9</v>
      </c>
      <c r="D42" s="145" t="s">
        <v>13</v>
      </c>
      <c r="E42" s="477">
        <f>'Absolute Volume'!E42/'Energy data by fuel cycle'!$G$6</f>
        <v>6.9993601443204831E-3</v>
      </c>
      <c r="F42" s="163">
        <f>'Absolute Volume'!F42/'Energy data by fuel cycle'!$G$6</f>
        <v>7.4144455047050707E-3</v>
      </c>
      <c r="G42" s="163">
        <f>'Absolute Volume'!G42/'Energy data by fuel cycle'!$G$6</f>
        <v>0</v>
      </c>
      <c r="H42" s="163">
        <f>'Absolute Volume'!H42/'Energy data by fuel cycle'!$G$6</f>
        <v>0</v>
      </c>
      <c r="I42" s="163">
        <f>'Absolute Volume'!I42/'Energy data by fuel cycle'!$G$6</f>
        <v>0</v>
      </c>
      <c r="J42" s="163">
        <f>'Absolute Volume'!J42/'Energy data by fuel cycle'!$G$6</f>
        <v>0</v>
      </c>
      <c r="K42" s="164">
        <f>'Absolute Volume'!K42/'Energy data by fuel cycle'!$G$6</f>
        <v>0</v>
      </c>
      <c r="L42" s="164">
        <f>'Absolute Volume'!L42/'Energy data by fuel cycle'!$G$6</f>
        <v>0</v>
      </c>
      <c r="M42" s="163">
        <f>'Absolute Volume'!M42/'Energy data by fuel cycle'!$G$6</f>
        <v>0</v>
      </c>
      <c r="N42" s="163">
        <f>'Absolute Volume'!N42/'Energy data by fuel cycle'!$G$6</f>
        <v>0</v>
      </c>
      <c r="O42" s="163">
        <f>'Absolute Volume'!O42/'Energy data by fuel cycle'!$G$6</f>
        <v>0</v>
      </c>
      <c r="P42" s="163">
        <f>'Absolute Volume'!P42/'Energy data by fuel cycle'!$G$6</f>
        <v>0</v>
      </c>
      <c r="Q42" s="147">
        <f>'Absolute Volume'!Q42/'Energy data by fuel cycle'!$G$6</f>
        <v>6.9993601443204831E-3</v>
      </c>
      <c r="R42" s="148">
        <f>'Absolute Volume'!R42/'Energy data by fuel cycle'!$G$6</f>
        <v>7.4144455047050707E-3</v>
      </c>
      <c r="S42" s="165">
        <f>'Absolute Volume'!S42/'Energy data by fuel cycle'!$G$6</f>
        <v>0</v>
      </c>
      <c r="T42" s="77"/>
    </row>
    <row r="43" spans="1:20" s="11" customFormat="1" ht="14" customHeight="1">
      <c r="A43" s="77"/>
      <c r="B43" s="755"/>
      <c r="C43" s="129" t="s">
        <v>8</v>
      </c>
      <c r="D43" s="130" t="s">
        <v>0</v>
      </c>
      <c r="E43" s="476">
        <f>'Absolute Volume'!E43/'Energy data by fuel cycle'!$G$6</f>
        <v>5.965916889682136E-3</v>
      </c>
      <c r="F43" s="157">
        <f>'Absolute Volume'!F43/'Energy data by fuel cycle'!$G$6</f>
        <v>5.965916889682136E-3</v>
      </c>
      <c r="G43" s="157">
        <f>'Absolute Volume'!G43/'Energy data by fuel cycle'!$G$6</f>
        <v>0</v>
      </c>
      <c r="H43" s="157">
        <f>'Absolute Volume'!H43/'Energy data by fuel cycle'!$G$6</f>
        <v>0</v>
      </c>
      <c r="I43" s="157">
        <f>'Absolute Volume'!I43/'Energy data by fuel cycle'!$G$6</f>
        <v>1.2551121340565831E-5</v>
      </c>
      <c r="J43" s="157">
        <f>'Absolute Volume'!J43/'Energy data by fuel cycle'!$G$6</f>
        <v>1.1560831320257869E-4</v>
      </c>
      <c r="K43" s="158">
        <f>'Absolute Volume'!K43/'Energy data by fuel cycle'!$G$6</f>
        <v>9.9601569712147731E-3</v>
      </c>
      <c r="L43" s="158">
        <f>'Absolute Volume'!L43/'Energy data by fuel cycle'!$G$6</f>
        <v>5.4184547076124641E-2</v>
      </c>
      <c r="M43" s="157">
        <f>'Absolute Volume'!M43/'Energy data by fuel cycle'!$G$6</f>
        <v>0</v>
      </c>
      <c r="N43" s="157">
        <f>'Absolute Volume'!N43/'Energy data by fuel cycle'!$G$6</f>
        <v>0</v>
      </c>
      <c r="O43" s="157">
        <f>'Absolute Volume'!O43/'Energy data by fuel cycle'!$G$6</f>
        <v>-3.2186459489456164E-2</v>
      </c>
      <c r="P43" s="157">
        <f>'Absolute Volume'!P43/'Energy data by fuel cycle'!$G$6</f>
        <v>-3.2186459489456164E-2</v>
      </c>
      <c r="Q43" s="78">
        <f>'Absolute Volume'!Q43/'Energy data by fuel cycle'!$G$6</f>
        <v>1.5938624982237474E-2</v>
      </c>
      <c r="R43" s="132">
        <f>'Absolute Volume'!R43/'Energy data by fuel cycle'!$G$6</f>
        <v>6.0266072279009354E-2</v>
      </c>
      <c r="S43" s="159">
        <f>'Absolute Volume'!S43/'Energy data by fuel cycle'!$G$6</f>
        <v>-3.2186459489456164E-2</v>
      </c>
      <c r="T43" s="77"/>
    </row>
    <row r="44" spans="1:20" s="11" customFormat="1" ht="14" customHeight="1">
      <c r="A44" s="77"/>
      <c r="B44" s="755"/>
      <c r="C44" s="129" t="s">
        <v>8</v>
      </c>
      <c r="D44" s="134" t="s">
        <v>7</v>
      </c>
      <c r="E44" s="476">
        <f>'Absolute Volume'!E44/'Energy data by fuel cycle'!$G$6</f>
        <v>0</v>
      </c>
      <c r="F44" s="157">
        <f>'Absolute Volume'!F44/'Energy data by fuel cycle'!$G$6</f>
        <v>0</v>
      </c>
      <c r="G44" s="157">
        <f>'Absolute Volume'!G44/'Energy data by fuel cycle'!$G$6</f>
        <v>0</v>
      </c>
      <c r="H44" s="157">
        <f>'Absolute Volume'!H44/'Energy data by fuel cycle'!$G$6</f>
        <v>0</v>
      </c>
      <c r="I44" s="157">
        <f>'Absolute Volume'!I44/'Energy data by fuel cycle'!$G$6</f>
        <v>0</v>
      </c>
      <c r="J44" s="157">
        <f>'Absolute Volume'!J44/'Energy data by fuel cycle'!$G$6</f>
        <v>0</v>
      </c>
      <c r="K44" s="158">
        <f>'Absolute Volume'!K44/'Energy data by fuel cycle'!$G$6</f>
        <v>3.9709494657842243E-5</v>
      </c>
      <c r="L44" s="158">
        <f>'Absolute Volume'!L44/'Energy data by fuel cycle'!$G$6</f>
        <v>3.8811264605516202E-3</v>
      </c>
      <c r="M44" s="157">
        <f>'Absolute Volume'!M44/'Energy data by fuel cycle'!$G$6</f>
        <v>0</v>
      </c>
      <c r="N44" s="157">
        <f>'Absolute Volume'!N44/'Energy data by fuel cycle'!$G$6</f>
        <v>0</v>
      </c>
      <c r="O44" s="157">
        <f>'Absolute Volume'!O44/'Energy data by fuel cycle'!$G$6</f>
        <v>0</v>
      </c>
      <c r="P44" s="157">
        <f>'Absolute Volume'!P44/'Energy data by fuel cycle'!$G$6</f>
        <v>0</v>
      </c>
      <c r="Q44" s="78">
        <f>'Absolute Volume'!Q44/'Energy data by fuel cycle'!$G$6</f>
        <v>3.9709494657842243E-5</v>
      </c>
      <c r="R44" s="132">
        <f>'Absolute Volume'!R44/'Energy data by fuel cycle'!$G$6</f>
        <v>3.8811264605516202E-3</v>
      </c>
      <c r="S44" s="159">
        <f>'Absolute Volume'!S44/'Energy data by fuel cycle'!$G$6</f>
        <v>0</v>
      </c>
      <c r="T44" s="77"/>
    </row>
    <row r="45" spans="1:20" s="11" customFormat="1" ht="14" customHeight="1">
      <c r="A45" s="77"/>
      <c r="B45" s="755"/>
      <c r="C45" s="129" t="s">
        <v>8</v>
      </c>
      <c r="D45" s="135" t="s">
        <v>1</v>
      </c>
      <c r="E45" s="476">
        <f>'Absolute Volume'!E45/'Energy data by fuel cycle'!$G$6</f>
        <v>0</v>
      </c>
      <c r="F45" s="157">
        <f>'Absolute Volume'!F45/'Energy data by fuel cycle'!$G$6</f>
        <v>0</v>
      </c>
      <c r="G45" s="157">
        <f>'Absolute Volume'!G45/'Energy data by fuel cycle'!$G$6</f>
        <v>0</v>
      </c>
      <c r="H45" s="157">
        <f>'Absolute Volume'!H45/'Energy data by fuel cycle'!$G$6</f>
        <v>0</v>
      </c>
      <c r="I45" s="157">
        <f>'Absolute Volume'!I45/'Energy data by fuel cycle'!$G$6</f>
        <v>0</v>
      </c>
      <c r="J45" s="157">
        <f>'Absolute Volume'!J45/'Energy data by fuel cycle'!$G$6</f>
        <v>0</v>
      </c>
      <c r="K45" s="158">
        <f>'Absolute Volume'!K45/'Energy data by fuel cycle'!$G$6</f>
        <v>1.7720473138660092E-4</v>
      </c>
      <c r="L45" s="158">
        <f>'Absolute Volume'!L45/'Energy data by fuel cycle'!$G$6</f>
        <v>3.1263780138764546E-2</v>
      </c>
      <c r="M45" s="157">
        <f>'Absolute Volume'!M45/'Energy data by fuel cycle'!$G$6</f>
        <v>0</v>
      </c>
      <c r="N45" s="157">
        <f>'Absolute Volume'!N45/'Energy data by fuel cycle'!$G$6</f>
        <v>0</v>
      </c>
      <c r="O45" s="157">
        <f>'Absolute Volume'!O45/'Energy data by fuel cycle'!$G$6</f>
        <v>0</v>
      </c>
      <c r="P45" s="157">
        <f>'Absolute Volume'!P45/'Energy data by fuel cycle'!$G$6</f>
        <v>0</v>
      </c>
      <c r="Q45" s="78">
        <f>'Absolute Volume'!Q45/'Energy data by fuel cycle'!$G$6</f>
        <v>1.7720473138660092E-4</v>
      </c>
      <c r="R45" s="132">
        <f>'Absolute Volume'!R45/'Energy data by fuel cycle'!$G$6</f>
        <v>3.1263780138764546E-2</v>
      </c>
      <c r="S45" s="159">
        <f>'Absolute Volume'!S45/'Energy data by fuel cycle'!$G$6</f>
        <v>0</v>
      </c>
      <c r="T45" s="77"/>
    </row>
    <row r="46" spans="1:20" s="11" customFormat="1" ht="14" customHeight="1">
      <c r="A46" s="77"/>
      <c r="B46" s="755"/>
      <c r="C46" s="136" t="s">
        <v>8</v>
      </c>
      <c r="D46" s="137" t="s">
        <v>13</v>
      </c>
      <c r="E46" s="478">
        <f>'Absolute Volume'!E46/'Energy data by fuel cycle'!$G$6</f>
        <v>0</v>
      </c>
      <c r="F46" s="160">
        <f>'Absolute Volume'!F46/'Energy data by fuel cycle'!$G$6</f>
        <v>0</v>
      </c>
      <c r="G46" s="160">
        <f>'Absolute Volume'!G46/'Energy data by fuel cycle'!$G$6</f>
        <v>0</v>
      </c>
      <c r="H46" s="160">
        <f>'Absolute Volume'!H46/'Energy data by fuel cycle'!$G$6</f>
        <v>0</v>
      </c>
      <c r="I46" s="160">
        <f>'Absolute Volume'!I46/'Energy data by fuel cycle'!$G$6</f>
        <v>0</v>
      </c>
      <c r="J46" s="160">
        <f>'Absolute Volume'!J46/'Energy data by fuel cycle'!$G$6</f>
        <v>0</v>
      </c>
      <c r="K46" s="161">
        <f>'Absolute Volume'!K46/'Energy data by fuel cycle'!$G$6</f>
        <v>0</v>
      </c>
      <c r="L46" s="161">
        <f>'Absolute Volume'!L46/'Energy data by fuel cycle'!$G$6</f>
        <v>0</v>
      </c>
      <c r="M46" s="160">
        <f>'Absolute Volume'!M46/'Energy data by fuel cycle'!$G$6</f>
        <v>0</v>
      </c>
      <c r="N46" s="160">
        <f>'Absolute Volume'!N46/'Energy data by fuel cycle'!$G$6</f>
        <v>0</v>
      </c>
      <c r="O46" s="160">
        <f>'Absolute Volume'!O46/'Energy data by fuel cycle'!$G$6</f>
        <v>0</v>
      </c>
      <c r="P46" s="160">
        <f>'Absolute Volume'!P46/'Energy data by fuel cycle'!$G$6</f>
        <v>0</v>
      </c>
      <c r="Q46" s="139">
        <f>'Absolute Volume'!Q46/'Energy data by fuel cycle'!$G$6</f>
        <v>0</v>
      </c>
      <c r="R46" s="140">
        <f>'Absolute Volume'!R46/'Energy data by fuel cycle'!$G$6</f>
        <v>0</v>
      </c>
      <c r="S46" s="162">
        <f>'Absolute Volume'!S46/'Energy data by fuel cycle'!$G$6</f>
        <v>0</v>
      </c>
      <c r="T46" s="77"/>
    </row>
    <row r="47" spans="1:20" s="11" customFormat="1" ht="14" customHeight="1">
      <c r="A47" s="77"/>
      <c r="B47" s="755"/>
      <c r="C47" s="150" t="s">
        <v>10</v>
      </c>
      <c r="D47" s="143" t="s">
        <v>0</v>
      </c>
      <c r="E47" s="476">
        <f>'Absolute Volume'!E47/'Energy data by fuel cycle'!$G$6</f>
        <v>0</v>
      </c>
      <c r="F47" s="157">
        <f>'Absolute Volume'!F47/'Energy data by fuel cycle'!$G$6</f>
        <v>0</v>
      </c>
      <c r="G47" s="157">
        <f>'Absolute Volume'!G47/'Energy data by fuel cycle'!$G$6</f>
        <v>0</v>
      </c>
      <c r="H47" s="157">
        <f>'Absolute Volume'!H47/'Energy data by fuel cycle'!$G$6</f>
        <v>0</v>
      </c>
      <c r="I47" s="157">
        <f>'Absolute Volume'!I47/'Energy data by fuel cycle'!$G$6</f>
        <v>0</v>
      </c>
      <c r="J47" s="157">
        <f>'Absolute Volume'!J47/'Energy data by fuel cycle'!$G$6</f>
        <v>0</v>
      </c>
      <c r="K47" s="158">
        <f>'Absolute Volume'!K47/'Energy data by fuel cycle'!$G$6</f>
        <v>1.388281845651161E-5</v>
      </c>
      <c r="L47" s="158">
        <f>'Absolute Volume'!L47/'Energy data by fuel cycle'!$G$6</f>
        <v>6.5310125033075158E-5</v>
      </c>
      <c r="M47" s="157">
        <f>'Absolute Volume'!M47/'Energy data by fuel cycle'!$G$6</f>
        <v>0</v>
      </c>
      <c r="N47" s="157">
        <f>'Absolute Volume'!N47/'Energy data by fuel cycle'!$G$6</f>
        <v>0</v>
      </c>
      <c r="O47" s="157">
        <f>'Absolute Volume'!O47/'Energy data by fuel cycle'!$G$6</f>
        <v>0</v>
      </c>
      <c r="P47" s="157">
        <f>'Absolute Volume'!P47/'Energy data by fuel cycle'!$G$6</f>
        <v>0</v>
      </c>
      <c r="Q47" s="78">
        <f>'Absolute Volume'!Q47/'Energy data by fuel cycle'!$G$6</f>
        <v>1.388281845651161E-5</v>
      </c>
      <c r="R47" s="132">
        <f>'Absolute Volume'!R47/'Energy data by fuel cycle'!$G$6</f>
        <v>6.5310125033075158E-5</v>
      </c>
      <c r="S47" s="159">
        <f>'Absolute Volume'!S47/'Energy data by fuel cycle'!$G$6</f>
        <v>0</v>
      </c>
      <c r="T47" s="77"/>
    </row>
    <row r="48" spans="1:20" s="11" customFormat="1" ht="14" customHeight="1">
      <c r="A48" s="77"/>
      <c r="B48" s="755"/>
      <c r="C48" s="150" t="s">
        <v>10</v>
      </c>
      <c r="D48" s="134" t="s">
        <v>7</v>
      </c>
      <c r="E48" s="476">
        <f>'Absolute Volume'!E48/'Energy data by fuel cycle'!$G$6</f>
        <v>0</v>
      </c>
      <c r="F48" s="157">
        <f>'Absolute Volume'!F48/'Energy data by fuel cycle'!$G$6</f>
        <v>0</v>
      </c>
      <c r="G48" s="157">
        <f>'Absolute Volume'!G48/'Energy data by fuel cycle'!$G$6</f>
        <v>0</v>
      </c>
      <c r="H48" s="157">
        <f>'Absolute Volume'!H48/'Energy data by fuel cycle'!$G$6</f>
        <v>0</v>
      </c>
      <c r="I48" s="157">
        <f>'Absolute Volume'!I48/'Energy data by fuel cycle'!$G$6</f>
        <v>0</v>
      </c>
      <c r="J48" s="157">
        <f>'Absolute Volume'!J48/'Energy data by fuel cycle'!$G$6</f>
        <v>0</v>
      </c>
      <c r="K48" s="158">
        <f>'Absolute Volume'!K48/'Energy data by fuel cycle'!$G$6</f>
        <v>7.4439027776847573E-7</v>
      </c>
      <c r="L48" s="158">
        <f>'Absolute Volume'!L48/'Energy data by fuel cycle'!$G$6</f>
        <v>6.7057526614479927E-6</v>
      </c>
      <c r="M48" s="157">
        <f>'Absolute Volume'!M48/'Energy data by fuel cycle'!$G$6</f>
        <v>0</v>
      </c>
      <c r="N48" s="157">
        <f>'Absolute Volume'!N48/'Energy data by fuel cycle'!$G$6</f>
        <v>0</v>
      </c>
      <c r="O48" s="157">
        <f>'Absolute Volume'!O48/'Energy data by fuel cycle'!$G$6</f>
        <v>0</v>
      </c>
      <c r="P48" s="157">
        <f>'Absolute Volume'!P48/'Energy data by fuel cycle'!$G$6</f>
        <v>0</v>
      </c>
      <c r="Q48" s="78">
        <f>'Absolute Volume'!Q48/'Energy data by fuel cycle'!$G$6</f>
        <v>7.4439027776847573E-7</v>
      </c>
      <c r="R48" s="132">
        <f>'Absolute Volume'!R48/'Energy data by fuel cycle'!$G$6</f>
        <v>6.7057526614479927E-6</v>
      </c>
      <c r="S48" s="159">
        <f>'Absolute Volume'!S48/'Energy data by fuel cycle'!$G$6</f>
        <v>0</v>
      </c>
      <c r="T48" s="77"/>
    </row>
    <row r="49" spans="1:20" s="11" customFormat="1" ht="14" customHeight="1">
      <c r="A49" s="77"/>
      <c r="B49" s="755"/>
      <c r="C49" s="150" t="s">
        <v>10</v>
      </c>
      <c r="D49" s="135" t="s">
        <v>1</v>
      </c>
      <c r="E49" s="476">
        <f>'Absolute Volume'!E49/'Energy data by fuel cycle'!$G$6</f>
        <v>2.3063518233978054E-4</v>
      </c>
      <c r="F49" s="157">
        <f>'Absolute Volume'!F49/'Energy data by fuel cycle'!$G$6</f>
        <v>0</v>
      </c>
      <c r="G49" s="157">
        <f>'Absolute Volume'!G49/'Energy data by fuel cycle'!$G$6</f>
        <v>0</v>
      </c>
      <c r="H49" s="157">
        <f>'Absolute Volume'!H49/'Energy data by fuel cycle'!$G$6</f>
        <v>0</v>
      </c>
      <c r="I49" s="157">
        <f>'Absolute Volume'!I49/'Energy data by fuel cycle'!$G$6</f>
        <v>0</v>
      </c>
      <c r="J49" s="157">
        <f>'Absolute Volume'!J49/'Energy data by fuel cycle'!$G$6</f>
        <v>0</v>
      </c>
      <c r="K49" s="158">
        <f>'Absolute Volume'!K49/'Energy data by fuel cycle'!$G$6</f>
        <v>2.876021532149247E-6</v>
      </c>
      <c r="L49" s="158">
        <f>'Absolute Volume'!L49/'Energy data by fuel cycle'!$G$6</f>
        <v>5.3633956091514241E-5</v>
      </c>
      <c r="M49" s="157">
        <f>'Absolute Volume'!M49/'Energy data by fuel cycle'!$G$6</f>
        <v>0</v>
      </c>
      <c r="N49" s="157">
        <f>'Absolute Volume'!N49/'Energy data by fuel cycle'!$G$6</f>
        <v>0</v>
      </c>
      <c r="O49" s="157">
        <f>'Absolute Volume'!O49/'Energy data by fuel cycle'!$G$6</f>
        <v>0</v>
      </c>
      <c r="P49" s="157">
        <f>'Absolute Volume'!P49/'Energy data by fuel cycle'!$G$6</f>
        <v>0</v>
      </c>
      <c r="Q49" s="78">
        <f>'Absolute Volume'!Q49/'Energy data by fuel cycle'!$G$6</f>
        <v>2.335112038719298E-4</v>
      </c>
      <c r="R49" s="132">
        <f>'Absolute Volume'!R49/'Energy data by fuel cycle'!$G$6</f>
        <v>5.3633956091514241E-5</v>
      </c>
      <c r="S49" s="159">
        <f>'Absolute Volume'!S49/'Energy data by fuel cycle'!$G$6</f>
        <v>0</v>
      </c>
      <c r="T49" s="77"/>
    </row>
    <row r="50" spans="1:20" s="11" customFormat="1" ht="14" customHeight="1" thickBot="1">
      <c r="A50" s="77"/>
      <c r="B50" s="755"/>
      <c r="C50" s="150" t="s">
        <v>10</v>
      </c>
      <c r="D50" s="166" t="s">
        <v>13</v>
      </c>
      <c r="E50" s="476">
        <f>'Absolute Volume'!E50/'Energy data by fuel cycle'!$G$6</f>
        <v>4.1508536038458772E-4</v>
      </c>
      <c r="F50" s="157">
        <f>'Absolute Volume'!F50/'Energy data by fuel cycle'!$G$6</f>
        <v>0</v>
      </c>
      <c r="G50" s="157">
        <f>'Absolute Volume'!G50/'Energy data by fuel cycle'!$G$6</f>
        <v>0</v>
      </c>
      <c r="H50" s="157">
        <f>'Absolute Volume'!H50/'Energy data by fuel cycle'!$G$6</f>
        <v>0</v>
      </c>
      <c r="I50" s="157">
        <f>'Absolute Volume'!I50/'Energy data by fuel cycle'!$G$6</f>
        <v>0</v>
      </c>
      <c r="J50" s="157">
        <f>'Absolute Volume'!J50/'Energy data by fuel cycle'!$G$6</f>
        <v>0</v>
      </c>
      <c r="K50" s="158">
        <f>'Absolute Volume'!K50/'Energy data by fuel cycle'!$G$6</f>
        <v>0</v>
      </c>
      <c r="L50" s="158">
        <f>'Absolute Volume'!L50/'Energy data by fuel cycle'!$G$6</f>
        <v>0</v>
      </c>
      <c r="M50" s="157">
        <f>'Absolute Volume'!M50/'Energy data by fuel cycle'!$G$6</f>
        <v>0</v>
      </c>
      <c r="N50" s="157">
        <f>'Absolute Volume'!N50/'Energy data by fuel cycle'!$G$6</f>
        <v>0</v>
      </c>
      <c r="O50" s="157">
        <f>'Absolute Volume'!O50/'Energy data by fuel cycle'!$G$6</f>
        <v>0</v>
      </c>
      <c r="P50" s="157">
        <f>'Absolute Volume'!P50/'Energy data by fuel cycle'!$G$6</f>
        <v>0</v>
      </c>
      <c r="Q50" s="78">
        <f>'Absolute Volume'!Q50/'Energy data by fuel cycle'!$G$6</f>
        <v>4.1508536038458772E-4</v>
      </c>
      <c r="R50" s="132">
        <f>'Absolute Volume'!R50/'Energy data by fuel cycle'!$G$6</f>
        <v>0</v>
      </c>
      <c r="S50" s="159">
        <f>'Absolute Volume'!S50/'Energy data by fuel cycle'!$G$6</f>
        <v>0</v>
      </c>
      <c r="T50" s="77"/>
    </row>
    <row r="51" spans="1:20" s="11" customFormat="1" ht="30" customHeight="1" thickBot="1">
      <c r="A51" s="77"/>
      <c r="B51" s="777" t="s">
        <v>142</v>
      </c>
      <c r="C51" s="778"/>
      <c r="D51" s="778"/>
      <c r="E51" s="778"/>
      <c r="F51" s="778"/>
      <c r="G51" s="778"/>
      <c r="H51" s="778"/>
      <c r="I51" s="778"/>
      <c r="J51" s="778"/>
      <c r="K51" s="778"/>
      <c r="L51" s="778"/>
      <c r="M51" s="778"/>
      <c r="N51" s="778"/>
      <c r="O51" s="778"/>
      <c r="P51" s="778"/>
      <c r="Q51" s="778"/>
      <c r="R51" s="778"/>
      <c r="S51" s="779"/>
      <c r="T51" s="77"/>
    </row>
    <row r="52" spans="1:20" s="11" customFormat="1" ht="14" customHeight="1">
      <c r="A52" s="77"/>
      <c r="B52" s="755" t="s">
        <v>856</v>
      </c>
      <c r="C52" s="120"/>
      <c r="D52" s="156"/>
      <c r="E52" s="759" t="s">
        <v>591</v>
      </c>
      <c r="F52" s="760"/>
      <c r="G52" s="756" t="s">
        <v>66</v>
      </c>
      <c r="H52" s="756"/>
      <c r="I52" s="742" t="s">
        <v>67</v>
      </c>
      <c r="J52" s="742"/>
      <c r="K52" s="743" t="s">
        <v>68</v>
      </c>
      <c r="L52" s="743"/>
      <c r="M52" s="744" t="s">
        <v>69</v>
      </c>
      <c r="N52" s="744"/>
      <c r="O52" s="745" t="s">
        <v>413</v>
      </c>
      <c r="P52" s="745"/>
      <c r="Q52" s="121" t="s">
        <v>763</v>
      </c>
      <c r="R52" s="122" t="s">
        <v>763</v>
      </c>
      <c r="S52" s="123" t="s">
        <v>763</v>
      </c>
      <c r="T52" s="77"/>
    </row>
    <row r="53" spans="1:20" s="11" customFormat="1" ht="14" customHeight="1">
      <c r="A53" s="77"/>
      <c r="B53" s="755"/>
      <c r="C53" s="120"/>
      <c r="D53" s="156"/>
      <c r="E53" s="469" t="s">
        <v>209</v>
      </c>
      <c r="F53" s="414" t="s">
        <v>208</v>
      </c>
      <c r="G53" s="414" t="s">
        <v>209</v>
      </c>
      <c r="H53" s="414" t="s">
        <v>208</v>
      </c>
      <c r="I53" s="414" t="s">
        <v>209</v>
      </c>
      <c r="J53" s="414" t="s">
        <v>208</v>
      </c>
      <c r="K53" s="414" t="s">
        <v>209</v>
      </c>
      <c r="L53" s="414" t="s">
        <v>208</v>
      </c>
      <c r="M53" s="414" t="s">
        <v>209</v>
      </c>
      <c r="N53" s="414" t="s">
        <v>208</v>
      </c>
      <c r="O53" s="414" t="s">
        <v>209</v>
      </c>
      <c r="P53" s="414" t="s">
        <v>208</v>
      </c>
      <c r="Q53" s="121" t="s">
        <v>209</v>
      </c>
      <c r="R53" s="468" t="s">
        <v>208</v>
      </c>
      <c r="S53" s="123" t="s">
        <v>413</v>
      </c>
      <c r="T53" s="77"/>
    </row>
    <row r="54" spans="1:20" s="11" customFormat="1" ht="28" customHeight="1">
      <c r="A54" s="77"/>
      <c r="B54" s="755"/>
      <c r="C54" s="124" t="s">
        <v>761</v>
      </c>
      <c r="D54" s="125" t="s">
        <v>762</v>
      </c>
      <c r="E54" s="126">
        <f t="shared" ref="E54:S54" si="3">SUM(E55:E66)</f>
        <v>2.7426989517935745</v>
      </c>
      <c r="F54" s="126">
        <f t="shared" si="3"/>
        <v>3.4013794910851778</v>
      </c>
      <c r="G54" s="126">
        <f t="shared" si="3"/>
        <v>0</v>
      </c>
      <c r="H54" s="126">
        <f t="shared" si="3"/>
        <v>0</v>
      </c>
      <c r="I54" s="126">
        <f t="shared" si="3"/>
        <v>0</v>
      </c>
      <c r="J54" s="126">
        <f t="shared" si="3"/>
        <v>0</v>
      </c>
      <c r="K54" s="126">
        <f t="shared" si="3"/>
        <v>0.11880721658633468</v>
      </c>
      <c r="L54" s="126">
        <f t="shared" si="3"/>
        <v>0.13200801842926077</v>
      </c>
      <c r="M54" s="126">
        <f t="shared" si="3"/>
        <v>0</v>
      </c>
      <c r="N54" s="126">
        <f t="shared" si="3"/>
        <v>0</v>
      </c>
      <c r="O54" s="126">
        <f t="shared" si="3"/>
        <v>-0.04</v>
      </c>
      <c r="P54" s="126">
        <f t="shared" si="3"/>
        <v>-0.04</v>
      </c>
      <c r="Q54" s="79">
        <f t="shared" si="3"/>
        <v>2.861506168379909</v>
      </c>
      <c r="R54" s="127">
        <f t="shared" si="3"/>
        <v>3.5333875095144389</v>
      </c>
      <c r="S54" s="128">
        <f t="shared" si="3"/>
        <v>-0.04</v>
      </c>
      <c r="T54" s="77"/>
    </row>
    <row r="55" spans="1:20" s="11" customFormat="1" ht="14" customHeight="1">
      <c r="A55" s="77"/>
      <c r="B55" s="755"/>
      <c r="C55" s="142" t="s">
        <v>9</v>
      </c>
      <c r="D55" s="143" t="s">
        <v>0</v>
      </c>
      <c r="E55" s="475">
        <f>'Absolute Volume'!E55/'Energy data by fuel cycle'!$G$7</f>
        <v>2.6055640042038957</v>
      </c>
      <c r="F55" s="157">
        <f>'Absolute Volume'!F55/'Energy data by fuel cycle'!$G$7</f>
        <v>3.2313105165309191</v>
      </c>
      <c r="G55" s="157">
        <f>'Absolute Volume'!G55/'Energy data by fuel cycle'!$G$7</f>
        <v>0</v>
      </c>
      <c r="H55" s="157">
        <f>'Absolute Volume'!H55/'Energy data by fuel cycle'!$G$7</f>
        <v>0</v>
      </c>
      <c r="I55" s="157">
        <f>'Absolute Volume'!I55/'Energy data by fuel cycle'!$G$7</f>
        <v>0</v>
      </c>
      <c r="J55" s="157">
        <f>'Absolute Volume'!J55/'Energy data by fuel cycle'!$G$7</f>
        <v>0</v>
      </c>
      <c r="K55" s="158">
        <f>'Absolute Volume'!K55/'Energy data by fuel cycle'!$G$7</f>
        <v>0.11286685575701795</v>
      </c>
      <c r="L55" s="158">
        <f>'Absolute Volume'!L55/'Energy data by fuel cycle'!$G$7</f>
        <v>0.12540761750779772</v>
      </c>
      <c r="M55" s="157">
        <f>'Absolute Volume'!M55/'Energy data by fuel cycle'!$G$7</f>
        <v>0</v>
      </c>
      <c r="N55" s="157">
        <f>'Absolute Volume'!N55/'Energy data by fuel cycle'!$G$7</f>
        <v>0</v>
      </c>
      <c r="O55" s="157">
        <f>'Absolute Volume'!O55/'Energy data by fuel cycle'!$G$7</f>
        <v>0</v>
      </c>
      <c r="P55" s="157">
        <f>'Absolute Volume'!P55/'Energy data by fuel cycle'!$G$7</f>
        <v>0</v>
      </c>
      <c r="Q55" s="78">
        <f>'Absolute Volume'!Q55/'Energy data by fuel cycle'!$G$7</f>
        <v>2.7184308599609137</v>
      </c>
      <c r="R55" s="132">
        <f>'Absolute Volume'!R55/'Energy data by fuel cycle'!$G$7</f>
        <v>3.3567181340387169</v>
      </c>
      <c r="S55" s="159">
        <f>'Absolute Volume'!S55/'Energy data by fuel cycle'!$G$7</f>
        <v>0</v>
      </c>
      <c r="T55" s="77"/>
    </row>
    <row r="56" spans="1:20" s="11" customFormat="1" ht="14" customHeight="1">
      <c r="A56" s="77"/>
      <c r="B56" s="755"/>
      <c r="C56" s="142" t="s">
        <v>9</v>
      </c>
      <c r="D56" s="134" t="s">
        <v>7</v>
      </c>
      <c r="E56" s="476">
        <f>'Absolute Volume'!E56/'Energy data by fuel cycle'!$G$7</f>
        <v>0</v>
      </c>
      <c r="F56" s="157">
        <f>'Absolute Volume'!F56/'Energy data by fuel cycle'!$G$7</f>
        <v>0</v>
      </c>
      <c r="G56" s="157">
        <f>'Absolute Volume'!G56/'Energy data by fuel cycle'!$G$7</f>
        <v>0</v>
      </c>
      <c r="H56" s="157">
        <f>'Absolute Volume'!H56/'Energy data by fuel cycle'!$G$7</f>
        <v>0</v>
      </c>
      <c r="I56" s="157">
        <f>'Absolute Volume'!I56/'Energy data by fuel cycle'!$G$7</f>
        <v>0</v>
      </c>
      <c r="J56" s="157">
        <f>'Absolute Volume'!J56/'Energy data by fuel cycle'!$G$7</f>
        <v>0</v>
      </c>
      <c r="K56" s="158">
        <f>'Absolute Volume'!K56/'Energy data by fuel cycle'!$G$7</f>
        <v>0</v>
      </c>
      <c r="L56" s="158">
        <f>'Absolute Volume'!L56/'Energy data by fuel cycle'!$G$7</f>
        <v>0</v>
      </c>
      <c r="M56" s="157">
        <f>'Absolute Volume'!M56/'Energy data by fuel cycle'!$G$7</f>
        <v>0</v>
      </c>
      <c r="N56" s="157">
        <f>'Absolute Volume'!N56/'Energy data by fuel cycle'!$G$7</f>
        <v>0</v>
      </c>
      <c r="O56" s="157">
        <f>'Absolute Volume'!O56/'Energy data by fuel cycle'!$G$7</f>
        <v>0</v>
      </c>
      <c r="P56" s="157">
        <f>'Absolute Volume'!P56/'Energy data by fuel cycle'!$G$7</f>
        <v>0</v>
      </c>
      <c r="Q56" s="78">
        <f>'Absolute Volume'!Q56/'Energy data by fuel cycle'!$G$7</f>
        <v>0</v>
      </c>
      <c r="R56" s="132">
        <f>'Absolute Volume'!R56/'Energy data by fuel cycle'!$G$7</f>
        <v>0</v>
      </c>
      <c r="S56" s="159">
        <f>'Absolute Volume'!S56/'Energy data by fuel cycle'!$G$7</f>
        <v>0</v>
      </c>
      <c r="T56" s="77"/>
    </row>
    <row r="57" spans="1:20" s="11" customFormat="1" ht="14" customHeight="1">
      <c r="A57" s="77"/>
      <c r="B57" s="755"/>
      <c r="C57" s="142" t="s">
        <v>9</v>
      </c>
      <c r="D57" s="135" t="s">
        <v>1</v>
      </c>
      <c r="E57" s="476">
        <f>'Absolute Volume'!E57/'Energy data by fuel cycle'!$G$7</f>
        <v>0</v>
      </c>
      <c r="F57" s="157">
        <f>'Absolute Volume'!F57/'Energy data by fuel cycle'!$G$7</f>
        <v>0</v>
      </c>
      <c r="G57" s="157">
        <f>'Absolute Volume'!G57/'Energy data by fuel cycle'!$G$7</f>
        <v>0</v>
      </c>
      <c r="H57" s="157">
        <f>'Absolute Volume'!H57/'Energy data by fuel cycle'!$G$7</f>
        <v>0</v>
      </c>
      <c r="I57" s="157">
        <f>'Absolute Volume'!I57/'Energy data by fuel cycle'!$G$7</f>
        <v>0</v>
      </c>
      <c r="J57" s="157">
        <f>'Absolute Volume'!J57/'Energy data by fuel cycle'!$G$7</f>
        <v>0</v>
      </c>
      <c r="K57" s="158">
        <f>'Absolute Volume'!K57/'Energy data by fuel cycle'!$G$7</f>
        <v>0</v>
      </c>
      <c r="L57" s="158">
        <f>'Absolute Volume'!L57/'Energy data by fuel cycle'!$G$7</f>
        <v>0</v>
      </c>
      <c r="M57" s="157">
        <f>'Absolute Volume'!M57/'Energy data by fuel cycle'!$G$7</f>
        <v>0</v>
      </c>
      <c r="N57" s="157">
        <f>'Absolute Volume'!N57/'Energy data by fuel cycle'!$G$7</f>
        <v>0</v>
      </c>
      <c r="O57" s="157">
        <f>'Absolute Volume'!O57/'Energy data by fuel cycle'!$G$7</f>
        <v>0</v>
      </c>
      <c r="P57" s="157">
        <f>'Absolute Volume'!P57/'Energy data by fuel cycle'!$G$7</f>
        <v>0</v>
      </c>
      <c r="Q57" s="78">
        <f>'Absolute Volume'!Q57/'Energy data by fuel cycle'!$G$7</f>
        <v>0</v>
      </c>
      <c r="R57" s="132">
        <f>'Absolute Volume'!R57/'Energy data by fuel cycle'!$G$7</f>
        <v>0</v>
      </c>
      <c r="S57" s="159">
        <f>'Absolute Volume'!S57/'Energy data by fuel cycle'!$G$7</f>
        <v>0</v>
      </c>
      <c r="T57" s="77"/>
    </row>
    <row r="58" spans="1:20" s="11" customFormat="1" ht="14" customHeight="1">
      <c r="A58" s="77"/>
      <c r="B58" s="755"/>
      <c r="C58" s="144" t="s">
        <v>9</v>
      </c>
      <c r="D58" s="145" t="s">
        <v>13</v>
      </c>
      <c r="E58" s="477">
        <f>'Absolute Volume'!E58/'Energy data by fuel cycle'!$G$7</f>
        <v>0</v>
      </c>
      <c r="F58" s="163">
        <f>'Absolute Volume'!F58/'Energy data by fuel cycle'!$G$7</f>
        <v>0</v>
      </c>
      <c r="G58" s="163">
        <f>'Absolute Volume'!G58/'Energy data by fuel cycle'!$G$7</f>
        <v>0</v>
      </c>
      <c r="H58" s="163">
        <f>'Absolute Volume'!H58/'Energy data by fuel cycle'!$G$7</f>
        <v>0</v>
      </c>
      <c r="I58" s="163">
        <f>'Absolute Volume'!I58/'Energy data by fuel cycle'!$G$7</f>
        <v>0</v>
      </c>
      <c r="J58" s="163">
        <f>'Absolute Volume'!J58/'Energy data by fuel cycle'!$G$7</f>
        <v>0</v>
      </c>
      <c r="K58" s="164">
        <f>'Absolute Volume'!K58/'Energy data by fuel cycle'!$G$7</f>
        <v>0</v>
      </c>
      <c r="L58" s="164">
        <f>'Absolute Volume'!L58/'Energy data by fuel cycle'!$G$7</f>
        <v>0</v>
      </c>
      <c r="M58" s="163">
        <f>'Absolute Volume'!M58/'Energy data by fuel cycle'!$G$7</f>
        <v>0</v>
      </c>
      <c r="N58" s="163">
        <f>'Absolute Volume'!N58/'Energy data by fuel cycle'!$G$7</f>
        <v>0</v>
      </c>
      <c r="O58" s="163">
        <f>'Absolute Volume'!O58/'Energy data by fuel cycle'!$G$7</f>
        <v>0</v>
      </c>
      <c r="P58" s="163">
        <f>'Absolute Volume'!P58/'Energy data by fuel cycle'!$G$7</f>
        <v>0</v>
      </c>
      <c r="Q58" s="147">
        <f>'Absolute Volume'!Q58/'Energy data by fuel cycle'!$G$7</f>
        <v>0</v>
      </c>
      <c r="R58" s="148">
        <f>'Absolute Volume'!R58/'Energy data by fuel cycle'!$G$7</f>
        <v>0</v>
      </c>
      <c r="S58" s="165">
        <f>'Absolute Volume'!S58/'Energy data by fuel cycle'!$G$7</f>
        <v>0</v>
      </c>
      <c r="T58" s="77"/>
    </row>
    <row r="59" spans="1:20" s="11" customFormat="1" ht="14" customHeight="1">
      <c r="A59" s="77"/>
      <c r="B59" s="755"/>
      <c r="C59" s="129" t="s">
        <v>8</v>
      </c>
      <c r="D59" s="130" t="s">
        <v>0</v>
      </c>
      <c r="E59" s="476">
        <f>'Absolute Volume'!E59/'Energy data by fuel cycle'!$G$7</f>
        <v>0.13713494758967873</v>
      </c>
      <c r="F59" s="157">
        <f>'Absolute Volume'!F59/'Energy data by fuel cycle'!$G$7</f>
        <v>0.17006897455425893</v>
      </c>
      <c r="G59" s="157">
        <f>'Absolute Volume'!G59/'Energy data by fuel cycle'!$G$7</f>
        <v>0</v>
      </c>
      <c r="H59" s="157">
        <f>'Absolute Volume'!H59/'Energy data by fuel cycle'!$G$7</f>
        <v>0</v>
      </c>
      <c r="I59" s="157">
        <f>'Absolute Volume'!I59/'Energy data by fuel cycle'!$G$7</f>
        <v>0</v>
      </c>
      <c r="J59" s="157">
        <f>'Absolute Volume'!J59/'Energy data by fuel cycle'!$G$7</f>
        <v>0</v>
      </c>
      <c r="K59" s="158">
        <f>'Absolute Volume'!K59/'Energy data by fuel cycle'!$G$7</f>
        <v>5.9403608293167346E-3</v>
      </c>
      <c r="L59" s="158">
        <f>'Absolute Volume'!L59/'Energy data by fuel cycle'!$G$7</f>
        <v>6.600400921463038E-3</v>
      </c>
      <c r="M59" s="157">
        <f>'Absolute Volume'!M59/'Energy data by fuel cycle'!$G$7</f>
        <v>0</v>
      </c>
      <c r="N59" s="157">
        <f>'Absolute Volume'!N59/'Energy data by fuel cycle'!$G$7</f>
        <v>0</v>
      </c>
      <c r="O59" s="157">
        <f>'Absolute Volume'!O59/'Energy data by fuel cycle'!$G$7</f>
        <v>-0.04</v>
      </c>
      <c r="P59" s="157">
        <f>'Absolute Volume'!P59/'Energy data by fuel cycle'!$G$7</f>
        <v>-0.04</v>
      </c>
      <c r="Q59" s="78">
        <f>'Absolute Volume'!Q59/'Energy data by fuel cycle'!$G$7</f>
        <v>0.14307530841899546</v>
      </c>
      <c r="R59" s="132">
        <f>'Absolute Volume'!R59/'Energy data by fuel cycle'!$G$7</f>
        <v>0.17666937547572195</v>
      </c>
      <c r="S59" s="159">
        <f>'Absolute Volume'!S59/'Energy data by fuel cycle'!$G$7</f>
        <v>-0.04</v>
      </c>
      <c r="T59" s="77"/>
    </row>
    <row r="60" spans="1:20" s="11" customFormat="1" ht="14" customHeight="1">
      <c r="A60" s="77"/>
      <c r="B60" s="755"/>
      <c r="C60" s="129" t="s">
        <v>8</v>
      </c>
      <c r="D60" s="134" t="s">
        <v>7</v>
      </c>
      <c r="E60" s="476">
        <f>'Absolute Volume'!E60/'Energy data by fuel cycle'!$G$7</f>
        <v>0</v>
      </c>
      <c r="F60" s="157">
        <f>'Absolute Volume'!F60/'Energy data by fuel cycle'!$G$7</f>
        <v>0</v>
      </c>
      <c r="G60" s="157">
        <f>'Absolute Volume'!G60/'Energy data by fuel cycle'!$G$7</f>
        <v>0</v>
      </c>
      <c r="H60" s="157">
        <f>'Absolute Volume'!H60/'Energy data by fuel cycle'!$G$7</f>
        <v>0</v>
      </c>
      <c r="I60" s="157">
        <f>'Absolute Volume'!I60/'Energy data by fuel cycle'!$G$7</f>
        <v>0</v>
      </c>
      <c r="J60" s="157">
        <f>'Absolute Volume'!J60/'Energy data by fuel cycle'!$G$7</f>
        <v>0</v>
      </c>
      <c r="K60" s="158">
        <f>'Absolute Volume'!K60/'Energy data by fuel cycle'!$G$7</f>
        <v>0</v>
      </c>
      <c r="L60" s="158">
        <f>'Absolute Volume'!L60/'Energy data by fuel cycle'!$G$7</f>
        <v>0</v>
      </c>
      <c r="M60" s="157">
        <f>'Absolute Volume'!M60/'Energy data by fuel cycle'!$G$7</f>
        <v>0</v>
      </c>
      <c r="N60" s="157">
        <f>'Absolute Volume'!N60/'Energy data by fuel cycle'!$G$7</f>
        <v>0</v>
      </c>
      <c r="O60" s="157">
        <f>'Absolute Volume'!O60/'Energy data by fuel cycle'!$G$7</f>
        <v>0</v>
      </c>
      <c r="P60" s="157">
        <f>'Absolute Volume'!P60/'Energy data by fuel cycle'!$G$7</f>
        <v>0</v>
      </c>
      <c r="Q60" s="78">
        <f>'Absolute Volume'!Q60/'Energy data by fuel cycle'!$G$7</f>
        <v>0</v>
      </c>
      <c r="R60" s="132">
        <f>'Absolute Volume'!R60/'Energy data by fuel cycle'!$G$7</f>
        <v>0</v>
      </c>
      <c r="S60" s="159">
        <f>'Absolute Volume'!S60/'Energy data by fuel cycle'!$G$7</f>
        <v>0</v>
      </c>
      <c r="T60" s="77"/>
    </row>
    <row r="61" spans="1:20" s="11" customFormat="1" ht="14" customHeight="1">
      <c r="A61" s="77"/>
      <c r="B61" s="755"/>
      <c r="C61" s="129" t="s">
        <v>8</v>
      </c>
      <c r="D61" s="135" t="s">
        <v>1</v>
      </c>
      <c r="E61" s="476">
        <f>'Absolute Volume'!E61/'Energy data by fuel cycle'!$G$7</f>
        <v>0</v>
      </c>
      <c r="F61" s="157">
        <f>'Absolute Volume'!F61/'Energy data by fuel cycle'!$G$7</f>
        <v>0</v>
      </c>
      <c r="G61" s="157">
        <f>'Absolute Volume'!G61/'Energy data by fuel cycle'!$G$7</f>
        <v>0</v>
      </c>
      <c r="H61" s="157">
        <f>'Absolute Volume'!H61/'Energy data by fuel cycle'!$G$7</f>
        <v>0</v>
      </c>
      <c r="I61" s="157">
        <f>'Absolute Volume'!I61/'Energy data by fuel cycle'!$G$7</f>
        <v>0</v>
      </c>
      <c r="J61" s="157">
        <f>'Absolute Volume'!J61/'Energy data by fuel cycle'!$G$7</f>
        <v>0</v>
      </c>
      <c r="K61" s="158">
        <f>'Absolute Volume'!K61/'Energy data by fuel cycle'!$G$7</f>
        <v>0</v>
      </c>
      <c r="L61" s="158">
        <f>'Absolute Volume'!L61/'Energy data by fuel cycle'!$G$7</f>
        <v>0</v>
      </c>
      <c r="M61" s="157">
        <f>'Absolute Volume'!M61/'Energy data by fuel cycle'!$G$7</f>
        <v>0</v>
      </c>
      <c r="N61" s="157">
        <f>'Absolute Volume'!N61/'Energy data by fuel cycle'!$G$7</f>
        <v>0</v>
      </c>
      <c r="O61" s="157">
        <f>'Absolute Volume'!O61/'Energy data by fuel cycle'!$G$7</f>
        <v>0</v>
      </c>
      <c r="P61" s="157">
        <f>'Absolute Volume'!P61/'Energy data by fuel cycle'!$G$7</f>
        <v>0</v>
      </c>
      <c r="Q61" s="78">
        <f>'Absolute Volume'!Q61/'Energy data by fuel cycle'!$G$7</f>
        <v>0</v>
      </c>
      <c r="R61" s="132">
        <f>'Absolute Volume'!R61/'Energy data by fuel cycle'!$G$7</f>
        <v>0</v>
      </c>
      <c r="S61" s="159">
        <f>'Absolute Volume'!S61/'Energy data by fuel cycle'!$G$7</f>
        <v>0</v>
      </c>
      <c r="T61" s="77"/>
    </row>
    <row r="62" spans="1:20" s="11" customFormat="1" ht="14" customHeight="1">
      <c r="A62" s="77"/>
      <c r="B62" s="755"/>
      <c r="C62" s="136" t="s">
        <v>8</v>
      </c>
      <c r="D62" s="137" t="s">
        <v>13</v>
      </c>
      <c r="E62" s="478">
        <f>'Absolute Volume'!E62/'Energy data by fuel cycle'!$G$7</f>
        <v>0</v>
      </c>
      <c r="F62" s="160">
        <f>'Absolute Volume'!F62/'Energy data by fuel cycle'!$G$7</f>
        <v>0</v>
      </c>
      <c r="G62" s="160">
        <f>'Absolute Volume'!G62/'Energy data by fuel cycle'!$G$7</f>
        <v>0</v>
      </c>
      <c r="H62" s="160">
        <f>'Absolute Volume'!H62/'Energy data by fuel cycle'!$G$7</f>
        <v>0</v>
      </c>
      <c r="I62" s="160">
        <f>'Absolute Volume'!I62/'Energy data by fuel cycle'!$G$7</f>
        <v>0</v>
      </c>
      <c r="J62" s="160">
        <f>'Absolute Volume'!J62/'Energy data by fuel cycle'!$G$7</f>
        <v>0</v>
      </c>
      <c r="K62" s="161">
        <f>'Absolute Volume'!K62/'Energy data by fuel cycle'!$G$7</f>
        <v>0</v>
      </c>
      <c r="L62" s="161">
        <f>'Absolute Volume'!L62/'Energy data by fuel cycle'!$G$7</f>
        <v>0</v>
      </c>
      <c r="M62" s="160">
        <f>'Absolute Volume'!M62/'Energy data by fuel cycle'!$G$7</f>
        <v>0</v>
      </c>
      <c r="N62" s="160">
        <f>'Absolute Volume'!N62/'Energy data by fuel cycle'!$G$7</f>
        <v>0</v>
      </c>
      <c r="O62" s="160">
        <f>'Absolute Volume'!O62/'Energy data by fuel cycle'!$G$7</f>
        <v>0</v>
      </c>
      <c r="P62" s="160">
        <f>'Absolute Volume'!P62/'Energy data by fuel cycle'!$G$7</f>
        <v>0</v>
      </c>
      <c r="Q62" s="139">
        <f>'Absolute Volume'!Q62/'Energy data by fuel cycle'!$G$7</f>
        <v>0</v>
      </c>
      <c r="R62" s="140">
        <f>'Absolute Volume'!R62/'Energy data by fuel cycle'!$G$7</f>
        <v>0</v>
      </c>
      <c r="S62" s="162">
        <f>'Absolute Volume'!S62/'Energy data by fuel cycle'!$G$7</f>
        <v>0</v>
      </c>
      <c r="T62" s="77"/>
    </row>
    <row r="63" spans="1:20" s="11" customFormat="1" ht="14" customHeight="1">
      <c r="A63" s="77"/>
      <c r="B63" s="755"/>
      <c r="C63" s="150" t="s">
        <v>10</v>
      </c>
      <c r="D63" s="143" t="s">
        <v>0</v>
      </c>
      <c r="E63" s="476">
        <f>'Absolute Volume'!E63/'Energy data by fuel cycle'!$G$7</f>
        <v>0</v>
      </c>
      <c r="F63" s="157">
        <f>'Absolute Volume'!F63/'Energy data by fuel cycle'!$G$7</f>
        <v>0</v>
      </c>
      <c r="G63" s="157">
        <f>'Absolute Volume'!G63/'Energy data by fuel cycle'!$G$7</f>
        <v>0</v>
      </c>
      <c r="H63" s="157">
        <f>'Absolute Volume'!H63/'Energy data by fuel cycle'!$G$7</f>
        <v>0</v>
      </c>
      <c r="I63" s="157">
        <f>'Absolute Volume'!I63/'Energy data by fuel cycle'!$G$7</f>
        <v>0</v>
      </c>
      <c r="J63" s="157">
        <f>'Absolute Volume'!J63/'Energy data by fuel cycle'!$G$7</f>
        <v>0</v>
      </c>
      <c r="K63" s="158">
        <f>'Absolute Volume'!K63/'Energy data by fuel cycle'!$G$7</f>
        <v>0</v>
      </c>
      <c r="L63" s="158">
        <f>'Absolute Volume'!L63/'Energy data by fuel cycle'!$G$7</f>
        <v>0</v>
      </c>
      <c r="M63" s="157">
        <f>'Absolute Volume'!M63/'Energy data by fuel cycle'!$G$7</f>
        <v>0</v>
      </c>
      <c r="N63" s="157">
        <f>'Absolute Volume'!N63/'Energy data by fuel cycle'!$G$7</f>
        <v>0</v>
      </c>
      <c r="O63" s="157">
        <f>'Absolute Volume'!O63/'Energy data by fuel cycle'!$G$7</f>
        <v>0</v>
      </c>
      <c r="P63" s="157">
        <f>'Absolute Volume'!P63/'Energy data by fuel cycle'!$G$7</f>
        <v>0</v>
      </c>
      <c r="Q63" s="78">
        <f>'Absolute Volume'!Q63/'Energy data by fuel cycle'!$G$7</f>
        <v>0</v>
      </c>
      <c r="R63" s="132">
        <f>'Absolute Volume'!R63/'Energy data by fuel cycle'!$G$7</f>
        <v>0</v>
      </c>
      <c r="S63" s="159">
        <f>'Absolute Volume'!S63/'Energy data by fuel cycle'!$G$7</f>
        <v>0</v>
      </c>
      <c r="T63" s="77"/>
    </row>
    <row r="64" spans="1:20" s="11" customFormat="1" ht="14" customHeight="1">
      <c r="A64" s="77"/>
      <c r="B64" s="755"/>
      <c r="C64" s="150" t="s">
        <v>10</v>
      </c>
      <c r="D64" s="134" t="s">
        <v>7</v>
      </c>
      <c r="E64" s="476">
        <f>'Absolute Volume'!E64/'Energy data by fuel cycle'!$G$7</f>
        <v>0</v>
      </c>
      <c r="F64" s="157">
        <f>'Absolute Volume'!F64/'Energy data by fuel cycle'!$G$7</f>
        <v>0</v>
      </c>
      <c r="G64" s="157">
        <f>'Absolute Volume'!G64/'Energy data by fuel cycle'!$G$7</f>
        <v>0</v>
      </c>
      <c r="H64" s="157">
        <f>'Absolute Volume'!H64/'Energy data by fuel cycle'!$G$7</f>
        <v>0</v>
      </c>
      <c r="I64" s="157">
        <f>'Absolute Volume'!I64/'Energy data by fuel cycle'!$G$7</f>
        <v>0</v>
      </c>
      <c r="J64" s="157">
        <f>'Absolute Volume'!J64/'Energy data by fuel cycle'!$G$7</f>
        <v>0</v>
      </c>
      <c r="K64" s="158">
        <f>'Absolute Volume'!K64/'Energy data by fuel cycle'!$G$7</f>
        <v>0</v>
      </c>
      <c r="L64" s="158">
        <f>'Absolute Volume'!L64/'Energy data by fuel cycle'!$G$7</f>
        <v>0</v>
      </c>
      <c r="M64" s="157">
        <f>'Absolute Volume'!M64/'Energy data by fuel cycle'!$G$7</f>
        <v>0</v>
      </c>
      <c r="N64" s="157">
        <f>'Absolute Volume'!N64/'Energy data by fuel cycle'!$G$7</f>
        <v>0</v>
      </c>
      <c r="O64" s="157">
        <f>'Absolute Volume'!O64/'Energy data by fuel cycle'!$G$7</f>
        <v>0</v>
      </c>
      <c r="P64" s="157">
        <f>'Absolute Volume'!P64/'Energy data by fuel cycle'!$G$7</f>
        <v>0</v>
      </c>
      <c r="Q64" s="78">
        <f>'Absolute Volume'!Q64/'Energy data by fuel cycle'!$G$7</f>
        <v>0</v>
      </c>
      <c r="R64" s="132">
        <f>'Absolute Volume'!R64/'Energy data by fuel cycle'!$G$7</f>
        <v>0</v>
      </c>
      <c r="S64" s="159">
        <f>'Absolute Volume'!S64/'Energy data by fuel cycle'!$G$7</f>
        <v>0</v>
      </c>
      <c r="T64" s="77"/>
    </row>
    <row r="65" spans="1:20" s="11" customFormat="1" ht="14" customHeight="1">
      <c r="A65" s="77"/>
      <c r="B65" s="755"/>
      <c r="C65" s="150" t="s">
        <v>10</v>
      </c>
      <c r="D65" s="135" t="s">
        <v>1</v>
      </c>
      <c r="E65" s="476">
        <f>'Absolute Volume'!E65/'Energy data by fuel cycle'!$G$7</f>
        <v>0</v>
      </c>
      <c r="F65" s="157">
        <f>'Absolute Volume'!F65/'Energy data by fuel cycle'!$G$7</f>
        <v>0</v>
      </c>
      <c r="G65" s="157">
        <f>'Absolute Volume'!G65/'Energy data by fuel cycle'!$G$7</f>
        <v>0</v>
      </c>
      <c r="H65" s="157">
        <f>'Absolute Volume'!H65/'Energy data by fuel cycle'!$G$7</f>
        <v>0</v>
      </c>
      <c r="I65" s="157">
        <f>'Absolute Volume'!I65/'Energy data by fuel cycle'!$G$7</f>
        <v>0</v>
      </c>
      <c r="J65" s="157">
        <f>'Absolute Volume'!J65/'Energy data by fuel cycle'!$G$7</f>
        <v>0</v>
      </c>
      <c r="K65" s="158">
        <f>'Absolute Volume'!K65/'Energy data by fuel cycle'!$G$7</f>
        <v>0</v>
      </c>
      <c r="L65" s="158">
        <f>'Absolute Volume'!L65/'Energy data by fuel cycle'!$G$7</f>
        <v>0</v>
      </c>
      <c r="M65" s="157">
        <f>'Absolute Volume'!M65/'Energy data by fuel cycle'!$G$7</f>
        <v>0</v>
      </c>
      <c r="N65" s="157">
        <f>'Absolute Volume'!N65/'Energy data by fuel cycle'!$G$7</f>
        <v>0</v>
      </c>
      <c r="O65" s="157">
        <f>'Absolute Volume'!O65/'Energy data by fuel cycle'!$G$7</f>
        <v>0</v>
      </c>
      <c r="P65" s="157">
        <f>'Absolute Volume'!P65/'Energy data by fuel cycle'!$G$7</f>
        <v>0</v>
      </c>
      <c r="Q65" s="78">
        <f>'Absolute Volume'!Q65/'Energy data by fuel cycle'!$G$7</f>
        <v>0</v>
      </c>
      <c r="R65" s="132">
        <f>'Absolute Volume'!R65/'Energy data by fuel cycle'!$G$7</f>
        <v>0</v>
      </c>
      <c r="S65" s="159">
        <f>'Absolute Volume'!S65/'Energy data by fuel cycle'!$G$7</f>
        <v>0</v>
      </c>
      <c r="T65" s="77"/>
    </row>
    <row r="66" spans="1:20" s="11" customFormat="1" ht="14" customHeight="1" thickBot="1">
      <c r="A66" s="77"/>
      <c r="B66" s="755"/>
      <c r="C66" s="150" t="s">
        <v>10</v>
      </c>
      <c r="D66" s="166" t="s">
        <v>13</v>
      </c>
      <c r="E66" s="476">
        <f>'Absolute Volume'!E66/'Energy data by fuel cycle'!$G$7</f>
        <v>0</v>
      </c>
      <c r="F66" s="157">
        <f>'Absolute Volume'!F66/'Energy data by fuel cycle'!$G$7</f>
        <v>0</v>
      </c>
      <c r="G66" s="157">
        <f>'Absolute Volume'!G66/'Energy data by fuel cycle'!$G$7</f>
        <v>0</v>
      </c>
      <c r="H66" s="157">
        <f>'Absolute Volume'!H66/'Energy data by fuel cycle'!$G$7</f>
        <v>0</v>
      </c>
      <c r="I66" s="157">
        <f>'Absolute Volume'!I66/'Energy data by fuel cycle'!$G$7</f>
        <v>0</v>
      </c>
      <c r="J66" s="157">
        <f>'Absolute Volume'!J66/'Energy data by fuel cycle'!$G$7</f>
        <v>0</v>
      </c>
      <c r="K66" s="158">
        <f>'Absolute Volume'!K66/'Energy data by fuel cycle'!$G$7</f>
        <v>0</v>
      </c>
      <c r="L66" s="158">
        <f>'Absolute Volume'!L66/'Energy data by fuel cycle'!$G$7</f>
        <v>0</v>
      </c>
      <c r="M66" s="157">
        <f>'Absolute Volume'!M66/'Energy data by fuel cycle'!$G$7</f>
        <v>0</v>
      </c>
      <c r="N66" s="157">
        <f>'Absolute Volume'!N66/'Energy data by fuel cycle'!$G$7</f>
        <v>0</v>
      </c>
      <c r="O66" s="157">
        <f>'Absolute Volume'!O66/'Energy data by fuel cycle'!$G$7</f>
        <v>0</v>
      </c>
      <c r="P66" s="157">
        <f>'Absolute Volume'!P66/'Energy data by fuel cycle'!$G$7</f>
        <v>0</v>
      </c>
      <c r="Q66" s="78">
        <f>'Absolute Volume'!Q66/'Energy data by fuel cycle'!$G$7</f>
        <v>0</v>
      </c>
      <c r="R66" s="132">
        <f>'Absolute Volume'!R66/'Energy data by fuel cycle'!$G$7</f>
        <v>0</v>
      </c>
      <c r="S66" s="159">
        <f>'Absolute Volume'!S66/'Energy data by fuel cycle'!$G$7</f>
        <v>0</v>
      </c>
      <c r="T66" s="77"/>
    </row>
    <row r="67" spans="1:20" s="11" customFormat="1" ht="30" customHeight="1" thickBot="1">
      <c r="A67" s="77"/>
      <c r="B67" s="774" t="s">
        <v>143</v>
      </c>
      <c r="C67" s="775"/>
      <c r="D67" s="775"/>
      <c r="E67" s="775"/>
      <c r="F67" s="775"/>
      <c r="G67" s="775"/>
      <c r="H67" s="775"/>
      <c r="I67" s="775"/>
      <c r="J67" s="775"/>
      <c r="K67" s="775"/>
      <c r="L67" s="775"/>
      <c r="M67" s="775"/>
      <c r="N67" s="775"/>
      <c r="O67" s="775"/>
      <c r="P67" s="775"/>
      <c r="Q67" s="775"/>
      <c r="R67" s="775"/>
      <c r="S67" s="776"/>
      <c r="T67" s="77"/>
    </row>
    <row r="68" spans="1:20" s="11" customFormat="1" ht="14" customHeight="1">
      <c r="A68" s="77"/>
      <c r="B68" s="755" t="s">
        <v>856</v>
      </c>
      <c r="C68" s="120"/>
      <c r="D68" s="156"/>
      <c r="E68" s="759" t="s">
        <v>591</v>
      </c>
      <c r="F68" s="760"/>
      <c r="G68" s="756" t="s">
        <v>66</v>
      </c>
      <c r="H68" s="756"/>
      <c r="I68" s="742" t="s">
        <v>67</v>
      </c>
      <c r="J68" s="742"/>
      <c r="K68" s="743" t="s">
        <v>68</v>
      </c>
      <c r="L68" s="743"/>
      <c r="M68" s="744" t="s">
        <v>69</v>
      </c>
      <c r="N68" s="744"/>
      <c r="O68" s="745" t="s">
        <v>413</v>
      </c>
      <c r="P68" s="745"/>
      <c r="Q68" s="121" t="s">
        <v>763</v>
      </c>
      <c r="R68" s="122" t="s">
        <v>763</v>
      </c>
      <c r="S68" s="123" t="s">
        <v>763</v>
      </c>
      <c r="T68" s="77"/>
    </row>
    <row r="69" spans="1:20" s="11" customFormat="1" ht="14" customHeight="1">
      <c r="A69" s="77"/>
      <c r="B69" s="755"/>
      <c r="C69" s="120"/>
      <c r="D69" s="156"/>
      <c r="E69" s="469" t="s">
        <v>209</v>
      </c>
      <c r="F69" s="414" t="s">
        <v>208</v>
      </c>
      <c r="G69" s="414" t="s">
        <v>209</v>
      </c>
      <c r="H69" s="414" t="s">
        <v>208</v>
      </c>
      <c r="I69" s="414" t="s">
        <v>209</v>
      </c>
      <c r="J69" s="414" t="s">
        <v>208</v>
      </c>
      <c r="K69" s="414" t="s">
        <v>209</v>
      </c>
      <c r="L69" s="414" t="s">
        <v>208</v>
      </c>
      <c r="M69" s="414" t="s">
        <v>209</v>
      </c>
      <c r="N69" s="414" t="s">
        <v>208</v>
      </c>
      <c r="O69" s="414" t="s">
        <v>209</v>
      </c>
      <c r="P69" s="414" t="s">
        <v>208</v>
      </c>
      <c r="Q69" s="121" t="s">
        <v>209</v>
      </c>
      <c r="R69" s="468" t="s">
        <v>208</v>
      </c>
      <c r="S69" s="123" t="s">
        <v>413</v>
      </c>
      <c r="T69" s="77"/>
    </row>
    <row r="70" spans="1:20" s="11" customFormat="1" ht="28" customHeight="1">
      <c r="A70" s="77"/>
      <c r="B70" s="755"/>
      <c r="C70" s="124" t="s">
        <v>761</v>
      </c>
      <c r="D70" s="125" t="s">
        <v>762</v>
      </c>
      <c r="E70" s="126">
        <f t="shared" ref="E70:S70" si="4">SUM(E71:E82)</f>
        <v>2.2977544411228479</v>
      </c>
      <c r="F70" s="126">
        <f t="shared" si="4"/>
        <v>2.8879627132854169</v>
      </c>
      <c r="G70" s="126">
        <f t="shared" si="4"/>
        <v>2.7209823820825026E-3</v>
      </c>
      <c r="H70" s="126">
        <f t="shared" si="4"/>
        <v>3.0233137578694474E-3</v>
      </c>
      <c r="I70" s="126">
        <f t="shared" si="4"/>
        <v>0</v>
      </c>
      <c r="J70" s="126">
        <f t="shared" si="4"/>
        <v>0</v>
      </c>
      <c r="K70" s="126">
        <f t="shared" si="4"/>
        <v>6.9542832607019933E-3</v>
      </c>
      <c r="L70" s="126">
        <f t="shared" si="4"/>
        <v>7.7269814007799916E-3</v>
      </c>
      <c r="M70" s="126">
        <f t="shared" si="4"/>
        <v>0</v>
      </c>
      <c r="N70" s="126">
        <f t="shared" si="4"/>
        <v>0</v>
      </c>
      <c r="O70" s="126">
        <f t="shared" si="4"/>
        <v>-0.03</v>
      </c>
      <c r="P70" s="126">
        <f t="shared" si="4"/>
        <v>-0.03</v>
      </c>
      <c r="Q70" s="79">
        <f t="shared" si="4"/>
        <v>2.3074297067656322</v>
      </c>
      <c r="R70" s="127">
        <f t="shared" si="4"/>
        <v>2.8987130084440671</v>
      </c>
      <c r="S70" s="128">
        <f t="shared" si="4"/>
        <v>-0.03</v>
      </c>
      <c r="T70" s="77"/>
    </row>
    <row r="71" spans="1:20" s="11" customFormat="1" ht="14" customHeight="1">
      <c r="A71" s="77"/>
      <c r="B71" s="755"/>
      <c r="C71" s="142" t="s">
        <v>9</v>
      </c>
      <c r="D71" s="143" t="s">
        <v>0</v>
      </c>
      <c r="E71" s="475">
        <f>'Absolute Volume'!E71/'Energy data by fuel cycle'!$G$8</f>
        <v>2.1363264819276138</v>
      </c>
      <c r="F71" s="157">
        <f>'Absolute Volume'!F71/'Energy data by fuel cycle'!$G$8</f>
        <v>2.6846958008425599</v>
      </c>
      <c r="G71" s="157">
        <f>'Absolute Volume'!G71/'Energy data by fuel cycle'!$G$8</f>
        <v>2.5033037915159024E-3</v>
      </c>
      <c r="H71" s="157">
        <f>'Absolute Volume'!H71/'Energy data by fuel cycle'!$G$8</f>
        <v>2.7814486572398916E-3</v>
      </c>
      <c r="I71" s="157">
        <f>'Absolute Volume'!I71/'Energy data by fuel cycle'!$G$8</f>
        <v>0</v>
      </c>
      <c r="J71" s="157">
        <f>'Absolute Volume'!J71/'Energy data by fuel cycle'!$G$8</f>
        <v>0</v>
      </c>
      <c r="K71" s="158">
        <f>'Absolute Volume'!K71/'Energy data by fuel cycle'!$G$8</f>
        <v>6.397940599845834E-3</v>
      </c>
      <c r="L71" s="158">
        <f>'Absolute Volume'!L71/'Energy data by fuel cycle'!$G$8</f>
        <v>7.1088228887175925E-3</v>
      </c>
      <c r="M71" s="157">
        <f>'Absolute Volume'!M71/'Energy data by fuel cycle'!$G$8</f>
        <v>0</v>
      </c>
      <c r="N71" s="157">
        <f>'Absolute Volume'!N71/'Energy data by fuel cycle'!$G$8</f>
        <v>0</v>
      </c>
      <c r="O71" s="157">
        <f>'Absolute Volume'!O71/'Energy data by fuel cycle'!$G$8</f>
        <v>0</v>
      </c>
      <c r="P71" s="157">
        <f>'Absolute Volume'!P71/'Energy data by fuel cycle'!$G$8</f>
        <v>0</v>
      </c>
      <c r="Q71" s="78">
        <f>'Absolute Volume'!Q71/'Energy data by fuel cycle'!$G$8</f>
        <v>2.1452277263189754</v>
      </c>
      <c r="R71" s="132">
        <f>'Absolute Volume'!R71/'Energy data by fuel cycle'!$G$8</f>
        <v>2.694586072388518</v>
      </c>
      <c r="S71" s="159">
        <f>'Absolute Volume'!S71/'Energy data by fuel cycle'!$G$8</f>
        <v>0</v>
      </c>
      <c r="T71" s="77"/>
    </row>
    <row r="72" spans="1:20" s="11" customFormat="1" ht="14" customHeight="1">
      <c r="A72" s="77"/>
      <c r="B72" s="755"/>
      <c r="C72" s="142" t="s">
        <v>9</v>
      </c>
      <c r="D72" s="134" t="s">
        <v>7</v>
      </c>
      <c r="E72" s="476">
        <f>'Absolute Volume'!E72/'Energy data by fuel cycle'!$G$8</f>
        <v>0</v>
      </c>
      <c r="F72" s="157">
        <f>'Absolute Volume'!F72/'Energy data by fuel cycle'!$G$8</f>
        <v>0</v>
      </c>
      <c r="G72" s="157">
        <f>'Absolute Volume'!G72/'Energy data by fuel cycle'!$G$8</f>
        <v>0</v>
      </c>
      <c r="H72" s="157">
        <f>'Absolute Volume'!H72/'Energy data by fuel cycle'!$G$8</f>
        <v>0</v>
      </c>
      <c r="I72" s="157">
        <f>'Absolute Volume'!I72/'Energy data by fuel cycle'!$G$8</f>
        <v>0</v>
      </c>
      <c r="J72" s="157">
        <f>'Absolute Volume'!J72/'Energy data by fuel cycle'!$G$8</f>
        <v>0</v>
      </c>
      <c r="K72" s="158">
        <f>'Absolute Volume'!K72/'Energy data by fuel cycle'!$G$8</f>
        <v>0</v>
      </c>
      <c r="L72" s="158">
        <f>'Absolute Volume'!L72/'Energy data by fuel cycle'!$G$8</f>
        <v>0</v>
      </c>
      <c r="M72" s="157">
        <f>'Absolute Volume'!M72/'Energy data by fuel cycle'!$G$8</f>
        <v>0</v>
      </c>
      <c r="N72" s="157">
        <f>'Absolute Volume'!N72/'Energy data by fuel cycle'!$G$8</f>
        <v>0</v>
      </c>
      <c r="O72" s="157">
        <f>'Absolute Volume'!O72/'Energy data by fuel cycle'!$G$8</f>
        <v>0</v>
      </c>
      <c r="P72" s="157">
        <f>'Absolute Volume'!P72/'Energy data by fuel cycle'!$G$8</f>
        <v>0</v>
      </c>
      <c r="Q72" s="78">
        <f>'Absolute Volume'!Q72/'Energy data by fuel cycle'!$G$8</f>
        <v>0</v>
      </c>
      <c r="R72" s="132">
        <f>'Absolute Volume'!R72/'Energy data by fuel cycle'!$G$8</f>
        <v>0</v>
      </c>
      <c r="S72" s="159">
        <f>'Absolute Volume'!S72/'Energy data by fuel cycle'!$G$8</f>
        <v>0</v>
      </c>
      <c r="T72" s="77"/>
    </row>
    <row r="73" spans="1:20" s="11" customFormat="1" ht="14" customHeight="1">
      <c r="A73" s="77"/>
      <c r="B73" s="755"/>
      <c r="C73" s="142" t="s">
        <v>9</v>
      </c>
      <c r="D73" s="135" t="s">
        <v>1</v>
      </c>
      <c r="E73" s="476">
        <f>'Absolute Volume'!E73/'Energy data by fuel cycle'!$G$8</f>
        <v>0</v>
      </c>
      <c r="F73" s="157">
        <f>'Absolute Volume'!F73/'Energy data by fuel cycle'!$G$8</f>
        <v>0</v>
      </c>
      <c r="G73" s="157">
        <f>'Absolute Volume'!G73/'Energy data by fuel cycle'!$G$8</f>
        <v>0</v>
      </c>
      <c r="H73" s="157">
        <f>'Absolute Volume'!H73/'Energy data by fuel cycle'!$G$8</f>
        <v>0</v>
      </c>
      <c r="I73" s="157">
        <f>'Absolute Volume'!I73/'Energy data by fuel cycle'!$G$8</f>
        <v>0</v>
      </c>
      <c r="J73" s="157">
        <f>'Absolute Volume'!J73/'Energy data by fuel cycle'!$G$8</f>
        <v>0</v>
      </c>
      <c r="K73" s="158">
        <f>'Absolute Volume'!K73/'Energy data by fuel cycle'!$G$8</f>
        <v>0</v>
      </c>
      <c r="L73" s="158">
        <f>'Absolute Volume'!L73/'Energy data by fuel cycle'!$G$8</f>
        <v>0</v>
      </c>
      <c r="M73" s="157">
        <f>'Absolute Volume'!M73/'Energy data by fuel cycle'!$G$8</f>
        <v>0</v>
      </c>
      <c r="N73" s="157">
        <f>'Absolute Volume'!N73/'Energy data by fuel cycle'!$G$8</f>
        <v>0</v>
      </c>
      <c r="O73" s="157">
        <f>'Absolute Volume'!O73/'Energy data by fuel cycle'!$G$8</f>
        <v>0</v>
      </c>
      <c r="P73" s="157">
        <f>'Absolute Volume'!P73/'Energy data by fuel cycle'!$G$8</f>
        <v>0</v>
      </c>
      <c r="Q73" s="78">
        <f>'Absolute Volume'!Q73/'Energy data by fuel cycle'!$G$8</f>
        <v>0</v>
      </c>
      <c r="R73" s="132">
        <f>'Absolute Volume'!R73/'Energy data by fuel cycle'!$G$8</f>
        <v>0</v>
      </c>
      <c r="S73" s="159">
        <f>'Absolute Volume'!S73/'Energy data by fuel cycle'!$G$8</f>
        <v>0</v>
      </c>
      <c r="T73" s="77"/>
    </row>
    <row r="74" spans="1:20" s="11" customFormat="1" ht="14" customHeight="1">
      <c r="A74" s="77"/>
      <c r="B74" s="755"/>
      <c r="C74" s="144" t="s">
        <v>9</v>
      </c>
      <c r="D74" s="145" t="s">
        <v>13</v>
      </c>
      <c r="E74" s="477">
        <f>'Absolute Volume'!E74/'Energy data by fuel cycle'!$G$8</f>
        <v>0</v>
      </c>
      <c r="F74" s="163">
        <f>'Absolute Volume'!F74/'Energy data by fuel cycle'!$G$8</f>
        <v>0</v>
      </c>
      <c r="G74" s="163">
        <f>'Absolute Volume'!G74/'Energy data by fuel cycle'!$G$8</f>
        <v>0</v>
      </c>
      <c r="H74" s="163">
        <f>'Absolute Volume'!H74/'Energy data by fuel cycle'!$G$8</f>
        <v>0</v>
      </c>
      <c r="I74" s="163">
        <f>'Absolute Volume'!I74/'Energy data by fuel cycle'!$G$8</f>
        <v>0</v>
      </c>
      <c r="J74" s="163">
        <f>'Absolute Volume'!J74/'Energy data by fuel cycle'!$G$8</f>
        <v>0</v>
      </c>
      <c r="K74" s="164">
        <f>'Absolute Volume'!K74/'Energy data by fuel cycle'!$G$8</f>
        <v>0</v>
      </c>
      <c r="L74" s="164">
        <f>'Absolute Volume'!L74/'Energy data by fuel cycle'!$G$8</f>
        <v>0</v>
      </c>
      <c r="M74" s="163">
        <f>'Absolute Volume'!M74/'Energy data by fuel cycle'!$G$8</f>
        <v>0</v>
      </c>
      <c r="N74" s="163">
        <f>'Absolute Volume'!N74/'Energy data by fuel cycle'!$G$8</f>
        <v>0</v>
      </c>
      <c r="O74" s="163">
        <f>'Absolute Volume'!O74/'Energy data by fuel cycle'!$G$8</f>
        <v>0</v>
      </c>
      <c r="P74" s="163">
        <f>'Absolute Volume'!P74/'Energy data by fuel cycle'!$G$8</f>
        <v>0</v>
      </c>
      <c r="Q74" s="147">
        <f>'Absolute Volume'!Q74/'Energy data by fuel cycle'!$G$8</f>
        <v>0</v>
      </c>
      <c r="R74" s="148">
        <f>'Absolute Volume'!R74/'Energy data by fuel cycle'!$G$8</f>
        <v>0</v>
      </c>
      <c r="S74" s="165">
        <f>'Absolute Volume'!S74/'Energy data by fuel cycle'!$G$8</f>
        <v>0</v>
      </c>
      <c r="T74" s="77"/>
    </row>
    <row r="75" spans="1:20" s="11" customFormat="1" ht="14" customHeight="1">
      <c r="A75" s="77"/>
      <c r="B75" s="755"/>
      <c r="C75" s="129" t="s">
        <v>8</v>
      </c>
      <c r="D75" s="130" t="s">
        <v>0</v>
      </c>
      <c r="E75" s="476">
        <f>'Absolute Volume'!E75/'Energy data by fuel cycle'!$G$8</f>
        <v>0.16142795919523406</v>
      </c>
      <c r="F75" s="157">
        <f>'Absolute Volume'!F75/'Energy data by fuel cycle'!$G$8</f>
        <v>0.20326691244285702</v>
      </c>
      <c r="G75" s="157">
        <f>'Absolute Volume'!G75/'Energy data by fuel cycle'!$G$8</f>
        <v>2.1767859056660022E-4</v>
      </c>
      <c r="H75" s="157">
        <f>'Absolute Volume'!H75/'Energy data by fuel cycle'!$G$8</f>
        <v>2.4186510062955576E-4</v>
      </c>
      <c r="I75" s="157">
        <f>'Absolute Volume'!I75/'Energy data by fuel cycle'!$G$8</f>
        <v>0</v>
      </c>
      <c r="J75" s="157">
        <f>'Absolute Volume'!J75/'Energy data by fuel cycle'!$G$8</f>
        <v>0</v>
      </c>
      <c r="K75" s="158">
        <f>'Absolute Volume'!K75/'Energy data by fuel cycle'!$G$8</f>
        <v>5.5634266085615944E-4</v>
      </c>
      <c r="L75" s="158">
        <f>'Absolute Volume'!L75/'Energy data by fuel cycle'!$G$8</f>
        <v>6.1815851206239926E-4</v>
      </c>
      <c r="M75" s="157">
        <f>'Absolute Volume'!M75/'Energy data by fuel cycle'!$G$8</f>
        <v>0</v>
      </c>
      <c r="N75" s="157">
        <f>'Absolute Volume'!N75/'Energy data by fuel cycle'!$G$8</f>
        <v>0</v>
      </c>
      <c r="O75" s="157">
        <f>'Absolute Volume'!O75/'Energy data by fuel cycle'!$G$8</f>
        <v>-0.03</v>
      </c>
      <c r="P75" s="157">
        <f>'Absolute Volume'!P75/'Energy data by fuel cycle'!$G$8</f>
        <v>-0.03</v>
      </c>
      <c r="Q75" s="78">
        <f>'Absolute Volume'!Q75/'Energy data by fuel cycle'!$G$8</f>
        <v>0.16220198044665685</v>
      </c>
      <c r="R75" s="132">
        <f>'Absolute Volume'!R75/'Energy data by fuel cycle'!$G$8</f>
        <v>0.20412693605554899</v>
      </c>
      <c r="S75" s="159">
        <f>'Absolute Volume'!S75/'Energy data by fuel cycle'!$G$8</f>
        <v>-0.03</v>
      </c>
      <c r="T75" s="77"/>
    </row>
    <row r="76" spans="1:20" s="11" customFormat="1" ht="14" customHeight="1">
      <c r="A76" s="77"/>
      <c r="B76" s="755"/>
      <c r="C76" s="129" t="s">
        <v>8</v>
      </c>
      <c r="D76" s="134" t="s">
        <v>7</v>
      </c>
      <c r="E76" s="476">
        <f>'Absolute Volume'!E76/'Energy data by fuel cycle'!$G$8</f>
        <v>0</v>
      </c>
      <c r="F76" s="157">
        <f>'Absolute Volume'!F76/'Energy data by fuel cycle'!$G$8</f>
        <v>0</v>
      </c>
      <c r="G76" s="157">
        <f>'Absolute Volume'!G76/'Energy data by fuel cycle'!$G$8</f>
        <v>0</v>
      </c>
      <c r="H76" s="157">
        <f>'Absolute Volume'!H76/'Energy data by fuel cycle'!$G$8</f>
        <v>0</v>
      </c>
      <c r="I76" s="157">
        <f>'Absolute Volume'!I76/'Energy data by fuel cycle'!$G$8</f>
        <v>0</v>
      </c>
      <c r="J76" s="157">
        <f>'Absolute Volume'!J76/'Energy data by fuel cycle'!$G$8</f>
        <v>0</v>
      </c>
      <c r="K76" s="158">
        <f>'Absolute Volume'!K76/'Energy data by fuel cycle'!$G$8</f>
        <v>0</v>
      </c>
      <c r="L76" s="158">
        <f>'Absolute Volume'!L76/'Energy data by fuel cycle'!$G$8</f>
        <v>0</v>
      </c>
      <c r="M76" s="157">
        <f>'Absolute Volume'!M76/'Energy data by fuel cycle'!$G$8</f>
        <v>0</v>
      </c>
      <c r="N76" s="157">
        <f>'Absolute Volume'!N76/'Energy data by fuel cycle'!$G$8</f>
        <v>0</v>
      </c>
      <c r="O76" s="157">
        <f>'Absolute Volume'!O76/'Energy data by fuel cycle'!$G$8</f>
        <v>0</v>
      </c>
      <c r="P76" s="157">
        <f>'Absolute Volume'!P76/'Energy data by fuel cycle'!$G$8</f>
        <v>0</v>
      </c>
      <c r="Q76" s="78">
        <f>'Absolute Volume'!Q76/'Energy data by fuel cycle'!$G$8</f>
        <v>0</v>
      </c>
      <c r="R76" s="132">
        <f>'Absolute Volume'!R76/'Energy data by fuel cycle'!$G$8</f>
        <v>0</v>
      </c>
      <c r="S76" s="159">
        <f>'Absolute Volume'!S76/'Energy data by fuel cycle'!$G$8</f>
        <v>0</v>
      </c>
      <c r="T76" s="77"/>
    </row>
    <row r="77" spans="1:20" s="11" customFormat="1" ht="14" customHeight="1">
      <c r="A77" s="77"/>
      <c r="B77" s="755"/>
      <c r="C77" s="129" t="s">
        <v>8</v>
      </c>
      <c r="D77" s="135" t="s">
        <v>1</v>
      </c>
      <c r="E77" s="476">
        <f>'Absolute Volume'!E77/'Energy data by fuel cycle'!$G$8</f>
        <v>0</v>
      </c>
      <c r="F77" s="157">
        <f>'Absolute Volume'!F77/'Energy data by fuel cycle'!$G$8</f>
        <v>0</v>
      </c>
      <c r="G77" s="157">
        <f>'Absolute Volume'!G77/'Energy data by fuel cycle'!$G$8</f>
        <v>0</v>
      </c>
      <c r="H77" s="157">
        <f>'Absolute Volume'!H77/'Energy data by fuel cycle'!$G$8</f>
        <v>0</v>
      </c>
      <c r="I77" s="157">
        <f>'Absolute Volume'!I77/'Energy data by fuel cycle'!$G$8</f>
        <v>0</v>
      </c>
      <c r="J77" s="157">
        <f>'Absolute Volume'!J77/'Energy data by fuel cycle'!$G$8</f>
        <v>0</v>
      </c>
      <c r="K77" s="158">
        <f>'Absolute Volume'!K77/'Energy data by fuel cycle'!$G$8</f>
        <v>0</v>
      </c>
      <c r="L77" s="158">
        <f>'Absolute Volume'!L77/'Energy data by fuel cycle'!$G$8</f>
        <v>0</v>
      </c>
      <c r="M77" s="157">
        <f>'Absolute Volume'!M77/'Energy data by fuel cycle'!$G$8</f>
        <v>0</v>
      </c>
      <c r="N77" s="157">
        <f>'Absolute Volume'!N77/'Energy data by fuel cycle'!$G$8</f>
        <v>0</v>
      </c>
      <c r="O77" s="157">
        <f>'Absolute Volume'!O77/'Energy data by fuel cycle'!$G$8</f>
        <v>0</v>
      </c>
      <c r="P77" s="157">
        <f>'Absolute Volume'!P77/'Energy data by fuel cycle'!$G$8</f>
        <v>0</v>
      </c>
      <c r="Q77" s="78">
        <f>'Absolute Volume'!Q77/'Energy data by fuel cycle'!$G$8</f>
        <v>0</v>
      </c>
      <c r="R77" s="132">
        <f>'Absolute Volume'!R77/'Energy data by fuel cycle'!$G$8</f>
        <v>0</v>
      </c>
      <c r="S77" s="159">
        <f>'Absolute Volume'!S77/'Energy data by fuel cycle'!$G$8</f>
        <v>0</v>
      </c>
      <c r="T77" s="77"/>
    </row>
    <row r="78" spans="1:20" s="11" customFormat="1" ht="14" customHeight="1">
      <c r="A78" s="77"/>
      <c r="B78" s="755"/>
      <c r="C78" s="136" t="s">
        <v>8</v>
      </c>
      <c r="D78" s="137" t="s">
        <v>13</v>
      </c>
      <c r="E78" s="478">
        <f>'Absolute Volume'!E78/'Energy data by fuel cycle'!$G$8</f>
        <v>0</v>
      </c>
      <c r="F78" s="160">
        <f>'Absolute Volume'!F78/'Energy data by fuel cycle'!$G$8</f>
        <v>0</v>
      </c>
      <c r="G78" s="160">
        <f>'Absolute Volume'!G78/'Energy data by fuel cycle'!$G$8</f>
        <v>0</v>
      </c>
      <c r="H78" s="160">
        <f>'Absolute Volume'!H78/'Energy data by fuel cycle'!$G$8</f>
        <v>0</v>
      </c>
      <c r="I78" s="160">
        <f>'Absolute Volume'!I78/'Energy data by fuel cycle'!$G$8</f>
        <v>0</v>
      </c>
      <c r="J78" s="160">
        <f>'Absolute Volume'!J78/'Energy data by fuel cycle'!$G$8</f>
        <v>0</v>
      </c>
      <c r="K78" s="161">
        <f>'Absolute Volume'!K78/'Energy data by fuel cycle'!$G$8</f>
        <v>0</v>
      </c>
      <c r="L78" s="161">
        <f>'Absolute Volume'!L78/'Energy data by fuel cycle'!$G$8</f>
        <v>0</v>
      </c>
      <c r="M78" s="160">
        <f>'Absolute Volume'!M78/'Energy data by fuel cycle'!$G$8</f>
        <v>0</v>
      </c>
      <c r="N78" s="160">
        <f>'Absolute Volume'!N78/'Energy data by fuel cycle'!$G$8</f>
        <v>0</v>
      </c>
      <c r="O78" s="160">
        <f>'Absolute Volume'!O78/'Energy data by fuel cycle'!$G$8</f>
        <v>0</v>
      </c>
      <c r="P78" s="160">
        <f>'Absolute Volume'!P78/'Energy data by fuel cycle'!$G$8</f>
        <v>0</v>
      </c>
      <c r="Q78" s="139">
        <f>'Absolute Volume'!Q78/'Energy data by fuel cycle'!$G$8</f>
        <v>0</v>
      </c>
      <c r="R78" s="140">
        <f>'Absolute Volume'!R78/'Energy data by fuel cycle'!$G$8</f>
        <v>0</v>
      </c>
      <c r="S78" s="162">
        <f>'Absolute Volume'!S78/'Energy data by fuel cycle'!$G$8</f>
        <v>0</v>
      </c>
      <c r="T78" s="77"/>
    </row>
    <row r="79" spans="1:20" s="11" customFormat="1" ht="14" customHeight="1">
      <c r="A79" s="77"/>
      <c r="B79" s="755"/>
      <c r="C79" s="150" t="s">
        <v>10</v>
      </c>
      <c r="D79" s="143" t="s">
        <v>0</v>
      </c>
      <c r="E79" s="476">
        <f>'Absolute Volume'!E79/'Energy data by fuel cycle'!$G$8</f>
        <v>0</v>
      </c>
      <c r="F79" s="157">
        <f>'Absolute Volume'!F79/'Energy data by fuel cycle'!$G$8</f>
        <v>0</v>
      </c>
      <c r="G79" s="157">
        <f>'Absolute Volume'!G79/'Energy data by fuel cycle'!$G$8</f>
        <v>0</v>
      </c>
      <c r="H79" s="157">
        <f>'Absolute Volume'!H79/'Energy data by fuel cycle'!$G$8</f>
        <v>0</v>
      </c>
      <c r="I79" s="157">
        <f>'Absolute Volume'!I79/'Energy data by fuel cycle'!$G$8</f>
        <v>0</v>
      </c>
      <c r="J79" s="157">
        <f>'Absolute Volume'!J79/'Energy data by fuel cycle'!$G$8</f>
        <v>0</v>
      </c>
      <c r="K79" s="158">
        <f>'Absolute Volume'!K79/'Energy data by fuel cycle'!$G$8</f>
        <v>0</v>
      </c>
      <c r="L79" s="158">
        <f>'Absolute Volume'!L79/'Energy data by fuel cycle'!$G$8</f>
        <v>0</v>
      </c>
      <c r="M79" s="157">
        <f>'Absolute Volume'!M79/'Energy data by fuel cycle'!$G$8</f>
        <v>0</v>
      </c>
      <c r="N79" s="157">
        <f>'Absolute Volume'!N79/'Energy data by fuel cycle'!$G$8</f>
        <v>0</v>
      </c>
      <c r="O79" s="157">
        <f>'Absolute Volume'!O79/'Energy data by fuel cycle'!$G$8</f>
        <v>0</v>
      </c>
      <c r="P79" s="157">
        <f>'Absolute Volume'!P79/'Energy data by fuel cycle'!$G$8</f>
        <v>0</v>
      </c>
      <c r="Q79" s="78">
        <f>'Absolute Volume'!Q79/'Energy data by fuel cycle'!$G$8</f>
        <v>0</v>
      </c>
      <c r="R79" s="132">
        <f>'Absolute Volume'!R79/'Energy data by fuel cycle'!$G$8</f>
        <v>0</v>
      </c>
      <c r="S79" s="159">
        <f>'Absolute Volume'!S79/'Energy data by fuel cycle'!$G$8</f>
        <v>0</v>
      </c>
      <c r="T79" s="77"/>
    </row>
    <row r="80" spans="1:20" s="11" customFormat="1" ht="14" customHeight="1">
      <c r="A80" s="77"/>
      <c r="B80" s="755"/>
      <c r="C80" s="150" t="s">
        <v>10</v>
      </c>
      <c r="D80" s="134" t="s">
        <v>7</v>
      </c>
      <c r="E80" s="476">
        <f>'Absolute Volume'!E80/'Energy data by fuel cycle'!$G$8</f>
        <v>0</v>
      </c>
      <c r="F80" s="157">
        <f>'Absolute Volume'!F80/'Energy data by fuel cycle'!$G$8</f>
        <v>0</v>
      </c>
      <c r="G80" s="157">
        <f>'Absolute Volume'!G80/'Energy data by fuel cycle'!$G$8</f>
        <v>0</v>
      </c>
      <c r="H80" s="157">
        <f>'Absolute Volume'!H80/'Energy data by fuel cycle'!$G$8</f>
        <v>0</v>
      </c>
      <c r="I80" s="157">
        <f>'Absolute Volume'!I80/'Energy data by fuel cycle'!$G$8</f>
        <v>0</v>
      </c>
      <c r="J80" s="157">
        <f>'Absolute Volume'!J80/'Energy data by fuel cycle'!$G$8</f>
        <v>0</v>
      </c>
      <c r="K80" s="158">
        <f>'Absolute Volume'!K80/'Energy data by fuel cycle'!$G$8</f>
        <v>0</v>
      </c>
      <c r="L80" s="158">
        <f>'Absolute Volume'!L80/'Energy data by fuel cycle'!$G$8</f>
        <v>0</v>
      </c>
      <c r="M80" s="157">
        <f>'Absolute Volume'!M80/'Energy data by fuel cycle'!$G$8</f>
        <v>0</v>
      </c>
      <c r="N80" s="157">
        <f>'Absolute Volume'!N80/'Energy data by fuel cycle'!$G$8</f>
        <v>0</v>
      </c>
      <c r="O80" s="157">
        <f>'Absolute Volume'!O80/'Energy data by fuel cycle'!$G$8</f>
        <v>0</v>
      </c>
      <c r="P80" s="157">
        <f>'Absolute Volume'!P80/'Energy data by fuel cycle'!$G$8</f>
        <v>0</v>
      </c>
      <c r="Q80" s="78">
        <f>'Absolute Volume'!Q80/'Energy data by fuel cycle'!$G$8</f>
        <v>0</v>
      </c>
      <c r="R80" s="132">
        <f>'Absolute Volume'!R80/'Energy data by fuel cycle'!$G$8</f>
        <v>0</v>
      </c>
      <c r="S80" s="159">
        <f>'Absolute Volume'!S80/'Energy data by fuel cycle'!$G$8</f>
        <v>0</v>
      </c>
      <c r="T80" s="77"/>
    </row>
    <row r="81" spans="1:20" s="11" customFormat="1" ht="14" customHeight="1">
      <c r="A81" s="77"/>
      <c r="B81" s="755"/>
      <c r="C81" s="150" t="s">
        <v>10</v>
      </c>
      <c r="D81" s="135" t="s">
        <v>1</v>
      </c>
      <c r="E81" s="476">
        <f>'Absolute Volume'!E81/'Energy data by fuel cycle'!$G$8</f>
        <v>0</v>
      </c>
      <c r="F81" s="157">
        <f>'Absolute Volume'!F81/'Energy data by fuel cycle'!$G$8</f>
        <v>0</v>
      </c>
      <c r="G81" s="157">
        <f>'Absolute Volume'!G81/'Energy data by fuel cycle'!$G$8</f>
        <v>0</v>
      </c>
      <c r="H81" s="157">
        <f>'Absolute Volume'!H81/'Energy data by fuel cycle'!$G$8</f>
        <v>0</v>
      </c>
      <c r="I81" s="157">
        <f>'Absolute Volume'!I81/'Energy data by fuel cycle'!$G$8</f>
        <v>0</v>
      </c>
      <c r="J81" s="157">
        <f>'Absolute Volume'!J81/'Energy data by fuel cycle'!$G$8</f>
        <v>0</v>
      </c>
      <c r="K81" s="158">
        <f>'Absolute Volume'!K81/'Energy data by fuel cycle'!$G$8</f>
        <v>0</v>
      </c>
      <c r="L81" s="158">
        <f>'Absolute Volume'!L81/'Energy data by fuel cycle'!$G$8</f>
        <v>0</v>
      </c>
      <c r="M81" s="157">
        <f>'Absolute Volume'!M81/'Energy data by fuel cycle'!$G$8</f>
        <v>0</v>
      </c>
      <c r="N81" s="157">
        <f>'Absolute Volume'!N81/'Energy data by fuel cycle'!$G$8</f>
        <v>0</v>
      </c>
      <c r="O81" s="157">
        <f>'Absolute Volume'!O81/'Energy data by fuel cycle'!$G$8</f>
        <v>0</v>
      </c>
      <c r="P81" s="157">
        <f>'Absolute Volume'!P81/'Energy data by fuel cycle'!$G$8</f>
        <v>0</v>
      </c>
      <c r="Q81" s="78">
        <f>'Absolute Volume'!Q81/'Energy data by fuel cycle'!$G$8</f>
        <v>0</v>
      </c>
      <c r="R81" s="132">
        <f>'Absolute Volume'!R81/'Energy data by fuel cycle'!$G$8</f>
        <v>0</v>
      </c>
      <c r="S81" s="159">
        <f>'Absolute Volume'!S81/'Energy data by fuel cycle'!$G$8</f>
        <v>0</v>
      </c>
      <c r="T81" s="77"/>
    </row>
    <row r="82" spans="1:20" s="11" customFormat="1" ht="14" customHeight="1" thickBot="1">
      <c r="A82" s="77"/>
      <c r="B82" s="755"/>
      <c r="C82" s="150" t="s">
        <v>10</v>
      </c>
      <c r="D82" s="166" t="s">
        <v>13</v>
      </c>
      <c r="E82" s="476">
        <f>'Absolute Volume'!E82/'Energy data by fuel cycle'!$G$8</f>
        <v>0</v>
      </c>
      <c r="F82" s="157">
        <f>'Absolute Volume'!F82/'Energy data by fuel cycle'!$G$8</f>
        <v>0</v>
      </c>
      <c r="G82" s="157">
        <f>'Absolute Volume'!G82/'Energy data by fuel cycle'!$G$8</f>
        <v>0</v>
      </c>
      <c r="H82" s="157">
        <f>'Absolute Volume'!H82/'Energy data by fuel cycle'!$G$8</f>
        <v>0</v>
      </c>
      <c r="I82" s="157">
        <f>'Absolute Volume'!I82/'Energy data by fuel cycle'!$G$8</f>
        <v>0</v>
      </c>
      <c r="J82" s="157">
        <f>'Absolute Volume'!J82/'Energy data by fuel cycle'!$G$8</f>
        <v>0</v>
      </c>
      <c r="K82" s="158">
        <f>'Absolute Volume'!K82/'Energy data by fuel cycle'!$G$8</f>
        <v>0</v>
      </c>
      <c r="L82" s="158">
        <f>'Absolute Volume'!L82/'Energy data by fuel cycle'!$G$8</f>
        <v>0</v>
      </c>
      <c r="M82" s="157">
        <f>'Absolute Volume'!M82/'Energy data by fuel cycle'!$G$8</f>
        <v>0</v>
      </c>
      <c r="N82" s="157">
        <f>'Absolute Volume'!N82/'Energy data by fuel cycle'!$G$8</f>
        <v>0</v>
      </c>
      <c r="O82" s="157">
        <f>'Absolute Volume'!O82/'Energy data by fuel cycle'!$G$8</f>
        <v>0</v>
      </c>
      <c r="P82" s="157">
        <f>'Absolute Volume'!P82/'Energy data by fuel cycle'!$G$8</f>
        <v>0</v>
      </c>
      <c r="Q82" s="78">
        <f>'Absolute Volume'!Q82/'Energy data by fuel cycle'!$G$8</f>
        <v>0</v>
      </c>
      <c r="R82" s="132">
        <f>'Absolute Volume'!R82/'Energy data by fuel cycle'!$G$8</f>
        <v>0</v>
      </c>
      <c r="S82" s="159">
        <f>'Absolute Volume'!S82/'Energy data by fuel cycle'!$G$8</f>
        <v>0</v>
      </c>
      <c r="T82" s="77"/>
    </row>
    <row r="83" spans="1:20" s="11" customFormat="1" ht="30" customHeight="1" thickBot="1">
      <c r="A83" s="77"/>
      <c r="B83" s="799" t="s">
        <v>44</v>
      </c>
      <c r="C83" s="800"/>
      <c r="D83" s="800"/>
      <c r="E83" s="800"/>
      <c r="F83" s="800"/>
      <c r="G83" s="800"/>
      <c r="H83" s="800"/>
      <c r="I83" s="800"/>
      <c r="J83" s="800"/>
      <c r="K83" s="800"/>
      <c r="L83" s="800"/>
      <c r="M83" s="800"/>
      <c r="N83" s="800"/>
      <c r="O83" s="800"/>
      <c r="P83" s="800"/>
      <c r="Q83" s="800"/>
      <c r="R83" s="800"/>
      <c r="S83" s="801"/>
      <c r="T83" s="77"/>
    </row>
    <row r="84" spans="1:20" s="11" customFormat="1" ht="14" customHeight="1">
      <c r="A84" s="77"/>
      <c r="B84" s="755" t="s">
        <v>856</v>
      </c>
      <c r="C84" s="120"/>
      <c r="D84" s="156"/>
      <c r="E84" s="759" t="s">
        <v>591</v>
      </c>
      <c r="F84" s="760"/>
      <c r="G84" s="756" t="s">
        <v>66</v>
      </c>
      <c r="H84" s="756"/>
      <c r="I84" s="742" t="s">
        <v>67</v>
      </c>
      <c r="J84" s="742"/>
      <c r="K84" s="743" t="s">
        <v>68</v>
      </c>
      <c r="L84" s="743"/>
      <c r="M84" s="744" t="s">
        <v>69</v>
      </c>
      <c r="N84" s="744"/>
      <c r="O84" s="745" t="s">
        <v>413</v>
      </c>
      <c r="P84" s="745"/>
      <c r="Q84" s="121" t="s">
        <v>763</v>
      </c>
      <c r="R84" s="122" t="s">
        <v>763</v>
      </c>
      <c r="S84" s="123" t="s">
        <v>763</v>
      </c>
      <c r="T84" s="77"/>
    </row>
    <row r="85" spans="1:20" s="11" customFormat="1" ht="14" customHeight="1">
      <c r="A85" s="77"/>
      <c r="B85" s="755"/>
      <c r="C85" s="120"/>
      <c r="D85" s="156"/>
      <c r="E85" s="469" t="s">
        <v>209</v>
      </c>
      <c r="F85" s="414" t="s">
        <v>208</v>
      </c>
      <c r="G85" s="414" t="s">
        <v>209</v>
      </c>
      <c r="H85" s="414" t="s">
        <v>208</v>
      </c>
      <c r="I85" s="414" t="s">
        <v>209</v>
      </c>
      <c r="J85" s="414" t="s">
        <v>208</v>
      </c>
      <c r="K85" s="414" t="s">
        <v>209</v>
      </c>
      <c r="L85" s="414" t="s">
        <v>208</v>
      </c>
      <c r="M85" s="414" t="s">
        <v>209</v>
      </c>
      <c r="N85" s="414" t="s">
        <v>208</v>
      </c>
      <c r="O85" s="414" t="s">
        <v>209</v>
      </c>
      <c r="P85" s="414" t="s">
        <v>208</v>
      </c>
      <c r="Q85" s="121" t="s">
        <v>209</v>
      </c>
      <c r="R85" s="468" t="s">
        <v>208</v>
      </c>
      <c r="S85" s="123" t="s">
        <v>413</v>
      </c>
      <c r="T85" s="77"/>
    </row>
    <row r="86" spans="1:20" s="11" customFormat="1" ht="28" customHeight="1">
      <c r="A86" s="77"/>
      <c r="B86" s="755"/>
      <c r="C86" s="124" t="s">
        <v>761</v>
      </c>
      <c r="D86" s="125" t="s">
        <v>762</v>
      </c>
      <c r="E86" s="126">
        <f t="shared" ref="E86:S86" si="5">SUM(E87:E98)</f>
        <v>3.3979134347588646E-3</v>
      </c>
      <c r="F86" s="126">
        <f t="shared" si="5"/>
        <v>3.3979134347588646E-3</v>
      </c>
      <c r="G86" s="126">
        <f t="shared" si="5"/>
        <v>2.9444172432047388E-5</v>
      </c>
      <c r="H86" s="126">
        <f t="shared" si="5"/>
        <v>3.680521554005923E-4</v>
      </c>
      <c r="I86" s="126">
        <f t="shared" si="5"/>
        <v>0</v>
      </c>
      <c r="J86" s="126">
        <f t="shared" si="5"/>
        <v>0</v>
      </c>
      <c r="K86" s="126">
        <f t="shared" si="5"/>
        <v>0.42855294886319995</v>
      </c>
      <c r="L86" s="126">
        <f t="shared" si="5"/>
        <v>21.713853654055733</v>
      </c>
      <c r="M86" s="126">
        <f t="shared" si="5"/>
        <v>2.9782110505215752E-2</v>
      </c>
      <c r="N86" s="126">
        <f t="shared" si="5"/>
        <v>8.0229911653719264E-3</v>
      </c>
      <c r="O86" s="126">
        <f t="shared" si="5"/>
        <v>-9.8410705667455245E-2</v>
      </c>
      <c r="P86" s="126">
        <f t="shared" si="5"/>
        <v>-9.8410705667455245E-2</v>
      </c>
      <c r="Q86" s="79">
        <f t="shared" si="5"/>
        <v>0.46176241697560655</v>
      </c>
      <c r="R86" s="127">
        <f t="shared" si="5"/>
        <v>21.725642610811263</v>
      </c>
      <c r="S86" s="128">
        <f t="shared" si="5"/>
        <v>-9.8410705667455245E-2</v>
      </c>
      <c r="T86" s="77"/>
    </row>
    <row r="87" spans="1:20" s="11" customFormat="1" ht="14" customHeight="1">
      <c r="A87" s="77"/>
      <c r="B87" s="755"/>
      <c r="C87" s="142" t="s">
        <v>9</v>
      </c>
      <c r="D87" s="143" t="s">
        <v>0</v>
      </c>
      <c r="E87" s="475">
        <f>'Absolute Volume'!E87/'Energy data by fuel cycle'!$G$9</f>
        <v>3.3979134347588646E-3</v>
      </c>
      <c r="F87" s="157">
        <f>'Absolute Volume'!F87/'Energy data by fuel cycle'!$G$9</f>
        <v>3.3979134347588646E-3</v>
      </c>
      <c r="G87" s="157">
        <f>'Absolute Volume'!G87/'Energy data by fuel cycle'!$G$9</f>
        <v>1.0305460351216586E-5</v>
      </c>
      <c r="H87" s="157">
        <f>'Absolute Volume'!H87/'Energy data by fuel cycle'!$G$9</f>
        <v>1.288182543902073E-4</v>
      </c>
      <c r="I87" s="157">
        <f>'Absolute Volume'!I87/'Energy data by fuel cycle'!$G$9</f>
        <v>0</v>
      </c>
      <c r="J87" s="157">
        <f>'Absolute Volume'!J87/'Energy data by fuel cycle'!$G$9</f>
        <v>0</v>
      </c>
      <c r="K87" s="158">
        <f>'Absolute Volume'!K87/'Energy data by fuel cycle'!$G$9</f>
        <v>9.9879682436294318E-2</v>
      </c>
      <c r="L87" s="158">
        <f>'Absolute Volume'!L87/'Energy data by fuel cycle'!$G$9</f>
        <v>0.10995895190682266</v>
      </c>
      <c r="M87" s="157">
        <f>'Absolute Volume'!M87/'Energy data by fuel cycle'!$G$9</f>
        <v>5.1118662639101121E-3</v>
      </c>
      <c r="N87" s="157">
        <f>'Absolute Volume'!N87/'Energy data by fuel cycle'!$G$9</f>
        <v>4.0628426153973666E-5</v>
      </c>
      <c r="O87" s="157">
        <f>'Absolute Volume'!O87/'Energy data by fuel cycle'!$G$9</f>
        <v>0</v>
      </c>
      <c r="P87" s="157">
        <f>'Absolute Volume'!P87/'Energy data by fuel cycle'!$G$9</f>
        <v>0</v>
      </c>
      <c r="Q87" s="78">
        <f>'Absolute Volume'!Q87/'Energy data by fuel cycle'!$G$9</f>
        <v>0.1083997675953145</v>
      </c>
      <c r="R87" s="132">
        <f>'Absolute Volume'!R87/'Energy data by fuel cycle'!$G$9</f>
        <v>0.11352631202212569</v>
      </c>
      <c r="S87" s="159">
        <f>'Absolute Volume'!S87/'Energy data by fuel cycle'!$G$9</f>
        <v>0</v>
      </c>
      <c r="T87" s="77"/>
    </row>
    <row r="88" spans="1:20" s="11" customFormat="1" ht="14" customHeight="1">
      <c r="A88" s="77"/>
      <c r="B88" s="755"/>
      <c r="C88" s="142" t="s">
        <v>9</v>
      </c>
      <c r="D88" s="134" t="s">
        <v>7</v>
      </c>
      <c r="E88" s="476">
        <f>'Absolute Volume'!E88/'Energy data by fuel cycle'!$G$9</f>
        <v>0</v>
      </c>
      <c r="F88" s="157">
        <f>'Absolute Volume'!F88/'Energy data by fuel cycle'!$G$9</f>
        <v>0</v>
      </c>
      <c r="G88" s="157">
        <f>'Absolute Volume'!G88/'Energy data by fuel cycle'!$G$9</f>
        <v>0</v>
      </c>
      <c r="H88" s="157">
        <f>'Absolute Volume'!H88/'Energy data by fuel cycle'!$G$9</f>
        <v>0</v>
      </c>
      <c r="I88" s="157">
        <f>'Absolute Volume'!I88/'Energy data by fuel cycle'!$G$9</f>
        <v>0</v>
      </c>
      <c r="J88" s="157">
        <f>'Absolute Volume'!J88/'Energy data by fuel cycle'!$G$9</f>
        <v>0</v>
      </c>
      <c r="K88" s="158">
        <f>'Absolute Volume'!K88/'Energy data by fuel cycle'!$G$9</f>
        <v>0</v>
      </c>
      <c r="L88" s="158">
        <f>'Absolute Volume'!L88/'Energy data by fuel cycle'!$G$9</f>
        <v>0</v>
      </c>
      <c r="M88" s="157">
        <f>'Absolute Volume'!M88/'Energy data by fuel cycle'!$G$9</f>
        <v>0</v>
      </c>
      <c r="N88" s="157">
        <f>'Absolute Volume'!N88/'Energy data by fuel cycle'!$G$9</f>
        <v>0</v>
      </c>
      <c r="O88" s="157">
        <f>'Absolute Volume'!O88/'Energy data by fuel cycle'!$G$9</f>
        <v>0</v>
      </c>
      <c r="P88" s="157">
        <f>'Absolute Volume'!P88/'Energy data by fuel cycle'!$G$9</f>
        <v>0</v>
      </c>
      <c r="Q88" s="78">
        <f>'Absolute Volume'!Q88/'Energy data by fuel cycle'!$G$9</f>
        <v>0</v>
      </c>
      <c r="R88" s="132">
        <f>'Absolute Volume'!R88/'Energy data by fuel cycle'!$G$9</f>
        <v>0</v>
      </c>
      <c r="S88" s="159">
        <f>'Absolute Volume'!S88/'Energy data by fuel cycle'!$G$9</f>
        <v>0</v>
      </c>
      <c r="T88" s="77"/>
    </row>
    <row r="89" spans="1:20" s="11" customFormat="1" ht="14" customHeight="1">
      <c r="A89" s="77"/>
      <c r="B89" s="755"/>
      <c r="C89" s="142" t="s">
        <v>9</v>
      </c>
      <c r="D89" s="135" t="s">
        <v>1</v>
      </c>
      <c r="E89" s="476">
        <f>'Absolute Volume'!E89/'Energy data by fuel cycle'!$G$9</f>
        <v>0</v>
      </c>
      <c r="F89" s="157">
        <f>'Absolute Volume'!F89/'Energy data by fuel cycle'!$G$9</f>
        <v>0</v>
      </c>
      <c r="G89" s="157">
        <f>'Absolute Volume'!G89/'Energy data by fuel cycle'!$G$9</f>
        <v>0</v>
      </c>
      <c r="H89" s="157">
        <f>'Absolute Volume'!H89/'Energy data by fuel cycle'!$G$9</f>
        <v>0</v>
      </c>
      <c r="I89" s="157">
        <f>'Absolute Volume'!I89/'Energy data by fuel cycle'!$G$9</f>
        <v>0</v>
      </c>
      <c r="J89" s="157">
        <f>'Absolute Volume'!J89/'Energy data by fuel cycle'!$G$9</f>
        <v>0</v>
      </c>
      <c r="K89" s="158">
        <f>'Absolute Volume'!K89/'Energy data by fuel cycle'!$G$9</f>
        <v>0</v>
      </c>
      <c r="L89" s="158">
        <f>'Absolute Volume'!L89/'Energy data by fuel cycle'!$G$9</f>
        <v>0</v>
      </c>
      <c r="M89" s="157">
        <f>'Absolute Volume'!M89/'Energy data by fuel cycle'!$G$9</f>
        <v>0</v>
      </c>
      <c r="N89" s="157">
        <f>'Absolute Volume'!N89/'Energy data by fuel cycle'!$G$9</f>
        <v>0</v>
      </c>
      <c r="O89" s="157">
        <f>'Absolute Volume'!O89/'Energy data by fuel cycle'!$G$9</f>
        <v>0</v>
      </c>
      <c r="P89" s="157">
        <f>'Absolute Volume'!P89/'Energy data by fuel cycle'!$G$9</f>
        <v>0</v>
      </c>
      <c r="Q89" s="78">
        <f>'Absolute Volume'!Q89/'Energy data by fuel cycle'!$G$9</f>
        <v>0</v>
      </c>
      <c r="R89" s="132">
        <f>'Absolute Volume'!R89/'Energy data by fuel cycle'!$G$9</f>
        <v>0</v>
      </c>
      <c r="S89" s="159">
        <f>'Absolute Volume'!S89/'Energy data by fuel cycle'!$G$9</f>
        <v>0</v>
      </c>
      <c r="T89" s="77"/>
    </row>
    <row r="90" spans="1:20" s="11" customFormat="1" ht="14" customHeight="1">
      <c r="A90" s="77"/>
      <c r="B90" s="755"/>
      <c r="C90" s="144" t="s">
        <v>9</v>
      </c>
      <c r="D90" s="145" t="s">
        <v>13</v>
      </c>
      <c r="E90" s="477">
        <f>'Absolute Volume'!E90/'Energy data by fuel cycle'!$G$9</f>
        <v>0</v>
      </c>
      <c r="F90" s="163">
        <f>'Absolute Volume'!F90/'Energy data by fuel cycle'!$G$9</f>
        <v>0</v>
      </c>
      <c r="G90" s="163">
        <f>'Absolute Volume'!G90/'Energy data by fuel cycle'!$G$9</f>
        <v>0</v>
      </c>
      <c r="H90" s="163">
        <f>'Absolute Volume'!H90/'Energy data by fuel cycle'!$G$9</f>
        <v>0</v>
      </c>
      <c r="I90" s="163">
        <f>'Absolute Volume'!I90/'Energy data by fuel cycle'!$G$9</f>
        <v>0</v>
      </c>
      <c r="J90" s="163">
        <f>'Absolute Volume'!J90/'Energy data by fuel cycle'!$G$9</f>
        <v>0</v>
      </c>
      <c r="K90" s="164">
        <f>'Absolute Volume'!K90/'Energy data by fuel cycle'!$G$9</f>
        <v>0</v>
      </c>
      <c r="L90" s="164">
        <f>'Absolute Volume'!L90/'Energy data by fuel cycle'!$G$9</f>
        <v>0</v>
      </c>
      <c r="M90" s="163">
        <f>'Absolute Volume'!M90/'Energy data by fuel cycle'!$G$9</f>
        <v>0</v>
      </c>
      <c r="N90" s="163">
        <f>'Absolute Volume'!N90/'Energy data by fuel cycle'!$G$9</f>
        <v>0</v>
      </c>
      <c r="O90" s="163">
        <f>'Absolute Volume'!O90/'Energy data by fuel cycle'!$G$9</f>
        <v>0</v>
      </c>
      <c r="P90" s="163">
        <f>'Absolute Volume'!P90/'Energy data by fuel cycle'!$G$9</f>
        <v>0</v>
      </c>
      <c r="Q90" s="147">
        <f>'Absolute Volume'!Q90/'Energy data by fuel cycle'!$G$9</f>
        <v>0</v>
      </c>
      <c r="R90" s="148">
        <f>'Absolute Volume'!R90/'Energy data by fuel cycle'!$G$9</f>
        <v>0</v>
      </c>
      <c r="S90" s="165">
        <f>'Absolute Volume'!S90/'Energy data by fuel cycle'!$G$9</f>
        <v>0</v>
      </c>
      <c r="T90" s="77"/>
    </row>
    <row r="91" spans="1:20" s="11" customFormat="1" ht="14" customHeight="1">
      <c r="A91" s="77"/>
      <c r="B91" s="755"/>
      <c r="C91" s="129" t="s">
        <v>8</v>
      </c>
      <c r="D91" s="130" t="s">
        <v>0</v>
      </c>
      <c r="E91" s="476">
        <f>'Absolute Volume'!E91/'Energy data by fuel cycle'!$G$9</f>
        <v>0</v>
      </c>
      <c r="F91" s="157">
        <f>'Absolute Volume'!F91/'Energy data by fuel cycle'!$G$9</f>
        <v>0</v>
      </c>
      <c r="G91" s="157">
        <f>'Absolute Volume'!G91/'Energy data by fuel cycle'!$G$9</f>
        <v>1.9138712080830802E-5</v>
      </c>
      <c r="H91" s="157">
        <f>'Absolute Volume'!H91/'Energy data by fuel cycle'!$G$9</f>
        <v>2.39233901010385E-4</v>
      </c>
      <c r="I91" s="157">
        <f>'Absolute Volume'!I91/'Energy data by fuel cycle'!$G$9</f>
        <v>0</v>
      </c>
      <c r="J91" s="157">
        <f>'Absolute Volume'!J91/'Energy data by fuel cycle'!$G$9</f>
        <v>0</v>
      </c>
      <c r="K91" s="158">
        <f>'Absolute Volume'!K91/'Energy data by fuel cycle'!$G$9</f>
        <v>0.3175285684623072</v>
      </c>
      <c r="L91" s="158">
        <f>'Absolute Volume'!L91/'Energy data by fuel cycle'!$G$9</f>
        <v>21.381903153769084</v>
      </c>
      <c r="M91" s="157">
        <f>'Absolute Volume'!M91/'Energy data by fuel cycle'!$G$9</f>
        <v>2.4056125894264414E-2</v>
      </c>
      <c r="N91" s="157">
        <f>'Absolute Volume'!N91/'Energy data by fuel cycle'!$G$9</f>
        <v>7.9340993551666565E-3</v>
      </c>
      <c r="O91" s="157">
        <f>'Absolute Volume'!O91/'Energy data by fuel cycle'!$G$9</f>
        <v>-9.8410705667455245E-2</v>
      </c>
      <c r="P91" s="157">
        <f>'Absolute Volume'!P91/'Energy data by fuel cycle'!$G$9</f>
        <v>-9.8410705667455245E-2</v>
      </c>
      <c r="Q91" s="78">
        <f>'Absolute Volume'!Q91/'Energy data by fuel cycle'!$G$9</f>
        <v>0.34160383306865244</v>
      </c>
      <c r="R91" s="132">
        <f>'Absolute Volume'!R91/'Energy data by fuel cycle'!$G$9</f>
        <v>21.390076487025262</v>
      </c>
      <c r="S91" s="159">
        <f>'Absolute Volume'!S91/'Energy data by fuel cycle'!$G$9</f>
        <v>-9.8410705667455245E-2</v>
      </c>
      <c r="T91" s="77"/>
    </row>
    <row r="92" spans="1:20" s="11" customFormat="1" ht="14" customHeight="1">
      <c r="A92" s="77"/>
      <c r="B92" s="755"/>
      <c r="C92" s="129" t="s">
        <v>8</v>
      </c>
      <c r="D92" s="134" t="s">
        <v>7</v>
      </c>
      <c r="E92" s="476">
        <f>'Absolute Volume'!E92/'Energy data by fuel cycle'!$G$9</f>
        <v>0</v>
      </c>
      <c r="F92" s="157">
        <f>'Absolute Volume'!F92/'Energy data by fuel cycle'!$G$9</f>
        <v>0</v>
      </c>
      <c r="G92" s="157">
        <f>'Absolute Volume'!G92/'Energy data by fuel cycle'!$G$9</f>
        <v>0</v>
      </c>
      <c r="H92" s="157">
        <f>'Absolute Volume'!H92/'Energy data by fuel cycle'!$G$9</f>
        <v>0</v>
      </c>
      <c r="I92" s="157">
        <f>'Absolute Volume'!I92/'Energy data by fuel cycle'!$G$9</f>
        <v>0</v>
      </c>
      <c r="J92" s="157">
        <f>'Absolute Volume'!J92/'Energy data by fuel cycle'!$G$9</f>
        <v>0</v>
      </c>
      <c r="K92" s="158">
        <f>'Absolute Volume'!K92/'Energy data by fuel cycle'!$G$9</f>
        <v>4.6945342618531723E-4</v>
      </c>
      <c r="L92" s="158">
        <f>'Absolute Volume'!L92/'Energy data by fuel cycle'!$G$9</f>
        <v>8.8776078502398909E-2</v>
      </c>
      <c r="M92" s="157">
        <f>'Absolute Volume'!M92/'Energy data by fuel cycle'!$G$9</f>
        <v>2.3835778407222246E-5</v>
      </c>
      <c r="N92" s="157">
        <f>'Absolute Volume'!N92/'Energy data by fuel cycle'!$G$9</f>
        <v>0</v>
      </c>
      <c r="O92" s="157">
        <f>'Absolute Volume'!O92/'Energy data by fuel cycle'!$G$9</f>
        <v>0</v>
      </c>
      <c r="P92" s="157">
        <f>'Absolute Volume'!P92/'Energy data by fuel cycle'!$G$9</f>
        <v>0</v>
      </c>
      <c r="Q92" s="78">
        <f>'Absolute Volume'!Q92/'Energy data by fuel cycle'!$G$9</f>
        <v>4.9328920459253947E-4</v>
      </c>
      <c r="R92" s="132">
        <f>'Absolute Volume'!R92/'Energy data by fuel cycle'!$G$9</f>
        <v>8.8776078502398909E-2</v>
      </c>
      <c r="S92" s="159">
        <f>'Absolute Volume'!S92/'Energy data by fuel cycle'!$G$9</f>
        <v>0</v>
      </c>
      <c r="T92" s="77"/>
    </row>
    <row r="93" spans="1:20" s="11" customFormat="1" ht="14" customHeight="1">
      <c r="A93" s="77"/>
      <c r="B93" s="755"/>
      <c r="C93" s="129" t="s">
        <v>8</v>
      </c>
      <c r="D93" s="135" t="s">
        <v>1</v>
      </c>
      <c r="E93" s="476">
        <f>'Absolute Volume'!E93/'Energy data by fuel cycle'!$G$9</f>
        <v>0</v>
      </c>
      <c r="F93" s="157">
        <f>'Absolute Volume'!F93/'Energy data by fuel cycle'!$G$9</f>
        <v>0</v>
      </c>
      <c r="G93" s="157">
        <f>'Absolute Volume'!G93/'Energy data by fuel cycle'!$G$9</f>
        <v>0</v>
      </c>
      <c r="H93" s="157">
        <f>'Absolute Volume'!H93/'Energy data by fuel cycle'!$G$9</f>
        <v>0</v>
      </c>
      <c r="I93" s="157">
        <f>'Absolute Volume'!I93/'Energy data by fuel cycle'!$G$9</f>
        <v>0</v>
      </c>
      <c r="J93" s="157">
        <f>'Absolute Volume'!J93/'Energy data by fuel cycle'!$G$9</f>
        <v>0</v>
      </c>
      <c r="K93" s="158">
        <f>'Absolute Volume'!K93/'Energy data by fuel cycle'!$G$9</f>
        <v>4.0183948894838644E-5</v>
      </c>
      <c r="L93" s="158">
        <f>'Absolute Volume'!L93/'Energy data by fuel cycle'!$G$9</f>
        <v>2.5928583678285319E-3</v>
      </c>
      <c r="M93" s="157">
        <f>'Absolute Volume'!M93/'Energy data by fuel cycle'!$G$9</f>
        <v>2.0402784343646872E-6</v>
      </c>
      <c r="N93" s="157">
        <f>'Absolute Volume'!N93/'Energy data by fuel cycle'!$G$9</f>
        <v>0</v>
      </c>
      <c r="O93" s="157">
        <f>'Absolute Volume'!O93/'Energy data by fuel cycle'!$G$9</f>
        <v>0</v>
      </c>
      <c r="P93" s="157">
        <f>'Absolute Volume'!P93/'Energy data by fuel cycle'!$G$9</f>
        <v>0</v>
      </c>
      <c r="Q93" s="78">
        <f>'Absolute Volume'!Q93/'Energy data by fuel cycle'!$G$9</f>
        <v>4.2224227329203335E-5</v>
      </c>
      <c r="R93" s="132">
        <f>'Absolute Volume'!R93/'Energy data by fuel cycle'!$G$9</f>
        <v>2.5928583678285319E-3</v>
      </c>
      <c r="S93" s="159">
        <f>'Absolute Volume'!S93/'Energy data by fuel cycle'!$G$9</f>
        <v>0</v>
      </c>
      <c r="T93" s="77"/>
    </row>
    <row r="94" spans="1:20" s="11" customFormat="1" ht="14" customHeight="1">
      <c r="A94" s="77"/>
      <c r="B94" s="755"/>
      <c r="C94" s="136" t="s">
        <v>8</v>
      </c>
      <c r="D94" s="137" t="s">
        <v>13</v>
      </c>
      <c r="E94" s="478">
        <f>'Absolute Volume'!E94/'Energy data by fuel cycle'!$G$9</f>
        <v>0</v>
      </c>
      <c r="F94" s="160">
        <f>'Absolute Volume'!F94/'Energy data by fuel cycle'!$G$9</f>
        <v>0</v>
      </c>
      <c r="G94" s="160">
        <f>'Absolute Volume'!G94/'Energy data by fuel cycle'!$G$9</f>
        <v>0</v>
      </c>
      <c r="H94" s="160">
        <f>'Absolute Volume'!H94/'Energy data by fuel cycle'!$G$9</f>
        <v>0</v>
      </c>
      <c r="I94" s="160">
        <f>'Absolute Volume'!I94/'Energy data by fuel cycle'!$G$9</f>
        <v>0</v>
      </c>
      <c r="J94" s="160">
        <f>'Absolute Volume'!J94/'Energy data by fuel cycle'!$G$9</f>
        <v>0</v>
      </c>
      <c r="K94" s="161">
        <f>'Absolute Volume'!K94/'Energy data by fuel cycle'!$G$9</f>
        <v>0</v>
      </c>
      <c r="L94" s="161">
        <f>'Absolute Volume'!L94/'Energy data by fuel cycle'!$G$9</f>
        <v>0</v>
      </c>
      <c r="M94" s="160">
        <f>'Absolute Volume'!M94/'Energy data by fuel cycle'!$G$9</f>
        <v>0</v>
      </c>
      <c r="N94" s="160">
        <f>'Absolute Volume'!N94/'Energy data by fuel cycle'!$G$9</f>
        <v>0</v>
      </c>
      <c r="O94" s="160">
        <f>'Absolute Volume'!O94/'Energy data by fuel cycle'!$G$9</f>
        <v>0</v>
      </c>
      <c r="P94" s="160">
        <f>'Absolute Volume'!P94/'Energy data by fuel cycle'!$G$9</f>
        <v>0</v>
      </c>
      <c r="Q94" s="139">
        <f>'Absolute Volume'!Q94/'Energy data by fuel cycle'!$G$9</f>
        <v>0</v>
      </c>
      <c r="R94" s="140">
        <f>'Absolute Volume'!R94/'Energy data by fuel cycle'!$G$9</f>
        <v>0</v>
      </c>
      <c r="S94" s="162">
        <f>'Absolute Volume'!S94/'Energy data by fuel cycle'!$G$9</f>
        <v>0</v>
      </c>
      <c r="T94" s="77"/>
    </row>
    <row r="95" spans="1:20" s="11" customFormat="1" ht="14" customHeight="1">
      <c r="A95" s="77"/>
      <c r="B95" s="755"/>
      <c r="C95" s="150" t="s">
        <v>10</v>
      </c>
      <c r="D95" s="143" t="s">
        <v>0</v>
      </c>
      <c r="E95" s="476">
        <f>'Absolute Volume'!E95/'Energy data by fuel cycle'!$G$9</f>
        <v>0</v>
      </c>
      <c r="F95" s="157">
        <f>'Absolute Volume'!F95/'Energy data by fuel cycle'!$G$9</f>
        <v>0</v>
      </c>
      <c r="G95" s="157">
        <f>'Absolute Volume'!G95/'Energy data by fuel cycle'!$G$9</f>
        <v>0</v>
      </c>
      <c r="H95" s="157">
        <f>'Absolute Volume'!H95/'Energy data by fuel cycle'!$G$9</f>
        <v>0</v>
      </c>
      <c r="I95" s="157">
        <f>'Absolute Volume'!I95/'Energy data by fuel cycle'!$G$9</f>
        <v>0</v>
      </c>
      <c r="J95" s="157">
        <f>'Absolute Volume'!J95/'Energy data by fuel cycle'!$G$9</f>
        <v>0</v>
      </c>
      <c r="K95" s="158">
        <f>'Absolute Volume'!K95/'Energy data by fuel cycle'!$G$9</f>
        <v>1.0622267085954961E-2</v>
      </c>
      <c r="L95" s="158">
        <f>'Absolute Volume'!L95/'Energy data by fuel cycle'!$G$9</f>
        <v>0.13006961565845229</v>
      </c>
      <c r="M95" s="157">
        <f>'Absolute Volume'!M95/'Energy data by fuel cycle'!$G$9</f>
        <v>5.8759271965871246E-4</v>
      </c>
      <c r="N95" s="157">
        <f>'Absolute Volume'!N95/'Energy data by fuel cycle'!$G$9</f>
        <v>4.8263384051295149E-5</v>
      </c>
      <c r="O95" s="157">
        <f>'Absolute Volume'!O95/'Energy data by fuel cycle'!$G$9</f>
        <v>0</v>
      </c>
      <c r="P95" s="157">
        <f>'Absolute Volume'!P95/'Energy data by fuel cycle'!$G$9</f>
        <v>0</v>
      </c>
      <c r="Q95" s="78">
        <f>'Absolute Volume'!Q95/'Energy data by fuel cycle'!$G$9</f>
        <v>1.1209859805613674E-2</v>
      </c>
      <c r="R95" s="132">
        <f>'Absolute Volume'!R95/'Energy data by fuel cycle'!$G$9</f>
        <v>0.13011787904250358</v>
      </c>
      <c r="S95" s="159">
        <f>'Absolute Volume'!S95/'Energy data by fuel cycle'!$G$9</f>
        <v>0</v>
      </c>
      <c r="T95" s="77"/>
    </row>
    <row r="96" spans="1:20" s="11" customFormat="1" ht="14" customHeight="1">
      <c r="A96" s="77"/>
      <c r="B96" s="755"/>
      <c r="C96" s="150" t="s">
        <v>10</v>
      </c>
      <c r="D96" s="134" t="s">
        <v>7</v>
      </c>
      <c r="E96" s="476">
        <f>'Absolute Volume'!E96/'Energy data by fuel cycle'!$G$9</f>
        <v>0</v>
      </c>
      <c r="F96" s="157">
        <f>'Absolute Volume'!F96/'Energy data by fuel cycle'!$G$9</f>
        <v>0</v>
      </c>
      <c r="G96" s="157">
        <f>'Absolute Volume'!G96/'Energy data by fuel cycle'!$G$9</f>
        <v>0</v>
      </c>
      <c r="H96" s="157">
        <f>'Absolute Volume'!H96/'Energy data by fuel cycle'!$G$9</f>
        <v>0</v>
      </c>
      <c r="I96" s="157">
        <f>'Absolute Volume'!I96/'Energy data by fuel cycle'!$G$9</f>
        <v>0</v>
      </c>
      <c r="J96" s="157">
        <f>'Absolute Volume'!J96/'Energy data by fuel cycle'!$G$9</f>
        <v>0</v>
      </c>
      <c r="K96" s="158">
        <f>'Absolute Volume'!K96/'Energy data by fuel cycle'!$G$9</f>
        <v>1.1784759859415448E-5</v>
      </c>
      <c r="L96" s="158">
        <f>'Absolute Volume'!L96/'Energy data by fuel cycle'!$G$9</f>
        <v>5.3730299130546927E-4</v>
      </c>
      <c r="M96" s="157">
        <f>'Absolute Volume'!M96/'Energy data by fuel cycle'!$G$9</f>
        <v>5.9835312498170807E-7</v>
      </c>
      <c r="N96" s="157">
        <f>'Absolute Volume'!N96/'Energy data by fuel cycle'!$G$9</f>
        <v>0</v>
      </c>
      <c r="O96" s="157">
        <f>'Absolute Volume'!O96/'Energy data by fuel cycle'!$G$9</f>
        <v>0</v>
      </c>
      <c r="P96" s="157">
        <f>'Absolute Volume'!P96/'Energy data by fuel cycle'!$G$9</f>
        <v>0</v>
      </c>
      <c r="Q96" s="78">
        <f>'Absolute Volume'!Q96/'Energy data by fuel cycle'!$G$9</f>
        <v>1.2383112984397156E-5</v>
      </c>
      <c r="R96" s="132">
        <f>'Absolute Volume'!R96/'Energy data by fuel cycle'!$G$9</f>
        <v>5.3730299130546927E-4</v>
      </c>
      <c r="S96" s="159">
        <f>'Absolute Volume'!S96/'Energy data by fuel cycle'!$G$9</f>
        <v>0</v>
      </c>
      <c r="T96" s="77"/>
    </row>
    <row r="97" spans="1:20" s="11" customFormat="1" ht="14" customHeight="1">
      <c r="A97" s="77"/>
      <c r="B97" s="755"/>
      <c r="C97" s="150" t="s">
        <v>10</v>
      </c>
      <c r="D97" s="135" t="s">
        <v>1</v>
      </c>
      <c r="E97" s="476">
        <f>'Absolute Volume'!E97/'Energy data by fuel cycle'!$G$9</f>
        <v>0</v>
      </c>
      <c r="F97" s="157">
        <f>'Absolute Volume'!F97/'Energy data by fuel cycle'!$G$9</f>
        <v>0</v>
      </c>
      <c r="G97" s="157">
        <f>'Absolute Volume'!G97/'Energy data by fuel cycle'!$G$9</f>
        <v>0</v>
      </c>
      <c r="H97" s="157">
        <f>'Absolute Volume'!H97/'Energy data by fuel cycle'!$G$9</f>
        <v>0</v>
      </c>
      <c r="I97" s="157">
        <f>'Absolute Volume'!I97/'Energy data by fuel cycle'!$G$9</f>
        <v>0</v>
      </c>
      <c r="J97" s="157">
        <f>'Absolute Volume'!J97/'Energy data by fuel cycle'!$G$9</f>
        <v>0</v>
      </c>
      <c r="K97" s="158">
        <f>'Absolute Volume'!K97/'Energy data by fuel cycle'!$G$9</f>
        <v>1.0087437038786434E-6</v>
      </c>
      <c r="L97" s="158">
        <f>'Absolute Volume'!L97/'Energy data by fuel cycle'!$G$9</f>
        <v>1.5692859839805172E-5</v>
      </c>
      <c r="M97" s="157">
        <f>'Absolute Volume'!M97/'Energy data by fuel cycle'!$G$9</f>
        <v>5.1217415944133494E-8</v>
      </c>
      <c r="N97" s="157">
        <f>'Absolute Volume'!N97/'Energy data by fuel cycle'!$G$9</f>
        <v>0</v>
      </c>
      <c r="O97" s="157">
        <f>'Absolute Volume'!O97/'Energy data by fuel cycle'!$G$9</f>
        <v>0</v>
      </c>
      <c r="P97" s="157">
        <f>'Absolute Volume'!P97/'Energy data by fuel cycle'!$G$9</f>
        <v>0</v>
      </c>
      <c r="Q97" s="78">
        <f>'Absolute Volume'!Q97/'Energy data by fuel cycle'!$G$9</f>
        <v>1.0599611198227768E-6</v>
      </c>
      <c r="R97" s="132">
        <f>'Absolute Volume'!R97/'Energy data by fuel cycle'!$G$9</f>
        <v>1.5692859839805172E-5</v>
      </c>
      <c r="S97" s="159">
        <f>'Absolute Volume'!S97/'Energy data by fuel cycle'!$G$9</f>
        <v>0</v>
      </c>
      <c r="T97" s="77"/>
    </row>
    <row r="98" spans="1:20" s="11" customFormat="1" ht="14" customHeight="1" thickBot="1">
      <c r="A98" s="77"/>
      <c r="B98" s="755"/>
      <c r="C98" s="150" t="s">
        <v>10</v>
      </c>
      <c r="D98" s="166" t="s">
        <v>13</v>
      </c>
      <c r="E98" s="476">
        <f>'Absolute Volume'!E98/'Energy data by fuel cycle'!$G$9</f>
        <v>0</v>
      </c>
      <c r="F98" s="157">
        <f>'Absolute Volume'!F98/'Energy data by fuel cycle'!$G$9</f>
        <v>0</v>
      </c>
      <c r="G98" s="157">
        <f>'Absolute Volume'!G98/'Energy data by fuel cycle'!$G$9</f>
        <v>0</v>
      </c>
      <c r="H98" s="157">
        <f>'Absolute Volume'!H98/'Energy data by fuel cycle'!$G$9</f>
        <v>0</v>
      </c>
      <c r="I98" s="157">
        <f>'Absolute Volume'!I98/'Energy data by fuel cycle'!$G$9</f>
        <v>0</v>
      </c>
      <c r="J98" s="157">
        <f>'Absolute Volume'!J98/'Energy data by fuel cycle'!$G$9</f>
        <v>0</v>
      </c>
      <c r="K98" s="158">
        <f>'Absolute Volume'!K98/'Energy data by fuel cycle'!$G$9</f>
        <v>0</v>
      </c>
      <c r="L98" s="158">
        <f>'Absolute Volume'!L98/'Energy data by fuel cycle'!$G$9</f>
        <v>0</v>
      </c>
      <c r="M98" s="157">
        <f>'Absolute Volume'!M98/'Energy data by fuel cycle'!$G$9</f>
        <v>0</v>
      </c>
      <c r="N98" s="157">
        <f>'Absolute Volume'!N98/'Energy data by fuel cycle'!$G$9</f>
        <v>0</v>
      </c>
      <c r="O98" s="157">
        <f>'Absolute Volume'!O98/'Energy data by fuel cycle'!$G$9</f>
        <v>0</v>
      </c>
      <c r="P98" s="157">
        <f>'Absolute Volume'!P98/'Energy data by fuel cycle'!$G$9</f>
        <v>0</v>
      </c>
      <c r="Q98" s="78">
        <f>'Absolute Volume'!Q98/'Energy data by fuel cycle'!$G$9</f>
        <v>0</v>
      </c>
      <c r="R98" s="132">
        <f>'Absolute Volume'!R98/'Energy data by fuel cycle'!$G$9</f>
        <v>0</v>
      </c>
      <c r="S98" s="159">
        <f>'Absolute Volume'!S98/'Energy data by fuel cycle'!$G$9</f>
        <v>0</v>
      </c>
      <c r="T98" s="77"/>
    </row>
    <row r="99" spans="1:20" s="11" customFormat="1" ht="30" customHeight="1" thickBot="1">
      <c r="A99" s="77"/>
      <c r="B99" s="796" t="s">
        <v>45</v>
      </c>
      <c r="C99" s="797"/>
      <c r="D99" s="797"/>
      <c r="E99" s="797"/>
      <c r="F99" s="797"/>
      <c r="G99" s="797"/>
      <c r="H99" s="797"/>
      <c r="I99" s="797"/>
      <c r="J99" s="797"/>
      <c r="K99" s="797"/>
      <c r="L99" s="797"/>
      <c r="M99" s="797"/>
      <c r="N99" s="797"/>
      <c r="O99" s="797"/>
      <c r="P99" s="797"/>
      <c r="Q99" s="797"/>
      <c r="R99" s="797"/>
      <c r="S99" s="798"/>
      <c r="T99" s="77"/>
    </row>
    <row r="100" spans="1:20" s="11" customFormat="1" ht="14" customHeight="1">
      <c r="A100" s="77"/>
      <c r="B100" s="755" t="s">
        <v>856</v>
      </c>
      <c r="C100" s="120"/>
      <c r="D100" s="156"/>
      <c r="E100" s="759" t="s">
        <v>591</v>
      </c>
      <c r="F100" s="760"/>
      <c r="G100" s="756" t="s">
        <v>66</v>
      </c>
      <c r="H100" s="756"/>
      <c r="I100" s="742" t="s">
        <v>67</v>
      </c>
      <c r="J100" s="742"/>
      <c r="K100" s="743" t="s">
        <v>68</v>
      </c>
      <c r="L100" s="743"/>
      <c r="M100" s="744" t="s">
        <v>69</v>
      </c>
      <c r="N100" s="744"/>
      <c r="O100" s="745" t="s">
        <v>413</v>
      </c>
      <c r="P100" s="745"/>
      <c r="Q100" s="121" t="s">
        <v>763</v>
      </c>
      <c r="R100" s="122" t="s">
        <v>763</v>
      </c>
      <c r="S100" s="123" t="s">
        <v>763</v>
      </c>
      <c r="T100" s="77"/>
    </row>
    <row r="101" spans="1:20" s="11" customFormat="1" ht="14" customHeight="1">
      <c r="A101" s="77"/>
      <c r="B101" s="755"/>
      <c r="C101" s="120"/>
      <c r="D101" s="156"/>
      <c r="E101" s="469" t="s">
        <v>209</v>
      </c>
      <c r="F101" s="414" t="s">
        <v>208</v>
      </c>
      <c r="G101" s="414" t="s">
        <v>209</v>
      </c>
      <c r="H101" s="414" t="s">
        <v>208</v>
      </c>
      <c r="I101" s="414" t="s">
        <v>209</v>
      </c>
      <c r="J101" s="414" t="s">
        <v>208</v>
      </c>
      <c r="K101" s="414" t="s">
        <v>209</v>
      </c>
      <c r="L101" s="414" t="s">
        <v>208</v>
      </c>
      <c r="M101" s="414" t="s">
        <v>209</v>
      </c>
      <c r="N101" s="414" t="s">
        <v>208</v>
      </c>
      <c r="O101" s="414" t="s">
        <v>209</v>
      </c>
      <c r="P101" s="414" t="s">
        <v>208</v>
      </c>
      <c r="Q101" s="121" t="s">
        <v>209</v>
      </c>
      <c r="R101" s="468" t="s">
        <v>208</v>
      </c>
      <c r="S101" s="123" t="s">
        <v>413</v>
      </c>
      <c r="T101" s="77"/>
    </row>
    <row r="102" spans="1:20" s="11" customFormat="1" ht="28" customHeight="1">
      <c r="A102" s="77"/>
      <c r="B102" s="755"/>
      <c r="C102" s="124" t="s">
        <v>761</v>
      </c>
      <c r="D102" s="125" t="s">
        <v>762</v>
      </c>
      <c r="E102" s="126">
        <f t="shared" ref="E102:S102" si="6">SUM(E103:E114)</f>
        <v>0.13364369810857535</v>
      </c>
      <c r="F102" s="126">
        <f t="shared" si="6"/>
        <v>0.13364369810857535</v>
      </c>
      <c r="G102" s="126">
        <f t="shared" si="6"/>
        <v>1.4218922926039644E-2</v>
      </c>
      <c r="H102" s="126">
        <f t="shared" si="6"/>
        <v>0.17773653657549554</v>
      </c>
      <c r="I102" s="126">
        <f t="shared" si="6"/>
        <v>0</v>
      </c>
      <c r="J102" s="126">
        <f t="shared" si="6"/>
        <v>0</v>
      </c>
      <c r="K102" s="126">
        <f t="shared" si="6"/>
        <v>0.19034417831454586</v>
      </c>
      <c r="L102" s="126">
        <f t="shared" si="6"/>
        <v>11.613471486212079</v>
      </c>
      <c r="M102" s="126">
        <f t="shared" si="6"/>
        <v>6.7627899867486491E-2</v>
      </c>
      <c r="N102" s="126">
        <f t="shared" si="6"/>
        <v>9.9898473267848557E-3</v>
      </c>
      <c r="O102" s="126">
        <f t="shared" si="6"/>
        <v>-4.2544883704773641E-2</v>
      </c>
      <c r="P102" s="126">
        <f t="shared" si="6"/>
        <v>-4.2544883704773641E-2</v>
      </c>
      <c r="Q102" s="79">
        <f t="shared" si="6"/>
        <v>0.40583469921664739</v>
      </c>
      <c r="R102" s="127">
        <f t="shared" si="6"/>
        <v>11.934841568222934</v>
      </c>
      <c r="S102" s="128">
        <f t="shared" si="6"/>
        <v>-4.2544883704773641E-2</v>
      </c>
      <c r="T102" s="77"/>
    </row>
    <row r="103" spans="1:20" s="11" customFormat="1" ht="14" customHeight="1">
      <c r="A103" s="77"/>
      <c r="B103" s="755"/>
      <c r="C103" s="142" t="s">
        <v>9</v>
      </c>
      <c r="D103" s="143" t="s">
        <v>0</v>
      </c>
      <c r="E103" s="475">
        <f>'Absolute Volume'!E103/'Energy data by fuel cycle'!$G$10</f>
        <v>0.13364369810857535</v>
      </c>
      <c r="F103" s="157">
        <f>'Absolute Volume'!F103/'Energy data by fuel cycle'!$G$10</f>
        <v>0.13364369810857535</v>
      </c>
      <c r="G103" s="157">
        <f>'Absolute Volume'!G103/'Energy data by fuel cycle'!$G$10</f>
        <v>4.9766230241138753E-3</v>
      </c>
      <c r="H103" s="157">
        <f>'Absolute Volume'!H103/'Energy data by fuel cycle'!$G$10</f>
        <v>6.2207787801423442E-2</v>
      </c>
      <c r="I103" s="157">
        <f>'Absolute Volume'!I103/'Energy data by fuel cycle'!$G$10</f>
        <v>0</v>
      </c>
      <c r="J103" s="157">
        <f>'Absolute Volume'!J103/'Energy data by fuel cycle'!$G$10</f>
        <v>0</v>
      </c>
      <c r="K103" s="158">
        <f>'Absolute Volume'!K103/'Energy data by fuel cycle'!$G$10</f>
        <v>9.5272579515273785E-3</v>
      </c>
      <c r="L103" s="158">
        <f>'Absolute Volume'!L103/'Energy data by fuel cycle'!$G$10</f>
        <v>1.6610215428978593E-2</v>
      </c>
      <c r="M103" s="157">
        <f>'Absolute Volume'!M103/'Energy data by fuel cycle'!$G$10</f>
        <v>2.9000308982162423E-3</v>
      </c>
      <c r="N103" s="157">
        <f>'Absolute Volume'!N103/'Energy data by fuel cycle'!$G$10</f>
        <v>1.5085326245532018E-5</v>
      </c>
      <c r="O103" s="157">
        <f>'Absolute Volume'!O103/'Energy data by fuel cycle'!$G$10</f>
        <v>0</v>
      </c>
      <c r="P103" s="157">
        <f>'Absolute Volume'!P103/'Energy data by fuel cycle'!$G$10</f>
        <v>0</v>
      </c>
      <c r="Q103" s="78">
        <f>'Absolute Volume'!Q103/'Energy data by fuel cycle'!$G$10</f>
        <v>0.15104760998243283</v>
      </c>
      <c r="R103" s="132">
        <f>'Absolute Volume'!R103/'Energy data by fuel cycle'!$G$10</f>
        <v>0.21247678666522288</v>
      </c>
      <c r="S103" s="159">
        <f>'Absolute Volume'!S103/'Energy data by fuel cycle'!$G$10</f>
        <v>0</v>
      </c>
      <c r="T103" s="77"/>
    </row>
    <row r="104" spans="1:20" s="11" customFormat="1" ht="14" customHeight="1">
      <c r="A104" s="77"/>
      <c r="B104" s="755"/>
      <c r="C104" s="142" t="s">
        <v>9</v>
      </c>
      <c r="D104" s="134" t="s">
        <v>7</v>
      </c>
      <c r="E104" s="476">
        <f>'Absolute Volume'!E104/'Energy data by fuel cycle'!$G$10</f>
        <v>0</v>
      </c>
      <c r="F104" s="157">
        <f>'Absolute Volume'!F104/'Energy data by fuel cycle'!$G$10</f>
        <v>0</v>
      </c>
      <c r="G104" s="157">
        <f>'Absolute Volume'!G104/'Energy data by fuel cycle'!$G$10</f>
        <v>0</v>
      </c>
      <c r="H104" s="157">
        <f>'Absolute Volume'!H104/'Energy data by fuel cycle'!$G$10</f>
        <v>0</v>
      </c>
      <c r="I104" s="157">
        <f>'Absolute Volume'!I104/'Energy data by fuel cycle'!$G$10</f>
        <v>0</v>
      </c>
      <c r="J104" s="157">
        <f>'Absolute Volume'!J104/'Energy data by fuel cycle'!$G$10</f>
        <v>0</v>
      </c>
      <c r="K104" s="158">
        <f>'Absolute Volume'!K104/'Energy data by fuel cycle'!$G$10</f>
        <v>6.4631631469653909E-4</v>
      </c>
      <c r="L104" s="158">
        <f>'Absolute Volume'!L104/'Energy data by fuel cycle'!$G$10</f>
        <v>9.2689004238972323E-4</v>
      </c>
      <c r="M104" s="157">
        <f>'Absolute Volume'!M104/'Energy data by fuel cycle'!$G$10</f>
        <v>1.9571081203666622E-4</v>
      </c>
      <c r="N104" s="157">
        <f>'Absolute Volume'!N104/'Energy data by fuel cycle'!$G$10</f>
        <v>0</v>
      </c>
      <c r="O104" s="157">
        <f>'Absolute Volume'!O104/'Energy data by fuel cycle'!$G$10</f>
        <v>0</v>
      </c>
      <c r="P104" s="157">
        <f>'Absolute Volume'!P104/'Energy data by fuel cycle'!$G$10</f>
        <v>0</v>
      </c>
      <c r="Q104" s="78">
        <f>'Absolute Volume'!Q104/'Energy data by fuel cycle'!$G$10</f>
        <v>8.4202712673320528E-4</v>
      </c>
      <c r="R104" s="132">
        <f>'Absolute Volume'!R104/'Energy data by fuel cycle'!$G$10</f>
        <v>9.2689004238972323E-4</v>
      </c>
      <c r="S104" s="159">
        <f>'Absolute Volume'!S104/'Energy data by fuel cycle'!$G$10</f>
        <v>0</v>
      </c>
      <c r="T104" s="77"/>
    </row>
    <row r="105" spans="1:20" s="11" customFormat="1" ht="14" customHeight="1">
      <c r="A105" s="77"/>
      <c r="B105" s="755"/>
      <c r="C105" s="142" t="s">
        <v>9</v>
      </c>
      <c r="D105" s="135" t="s">
        <v>1</v>
      </c>
      <c r="E105" s="476">
        <f>'Absolute Volume'!E105/'Energy data by fuel cycle'!$G$10</f>
        <v>0</v>
      </c>
      <c r="F105" s="157">
        <f>'Absolute Volume'!F105/'Energy data by fuel cycle'!$G$10</f>
        <v>0</v>
      </c>
      <c r="G105" s="157">
        <f>'Absolute Volume'!G105/'Energy data by fuel cycle'!$G$10</f>
        <v>0</v>
      </c>
      <c r="H105" s="157">
        <f>'Absolute Volume'!H105/'Energy data by fuel cycle'!$G$10</f>
        <v>0</v>
      </c>
      <c r="I105" s="157">
        <f>'Absolute Volume'!I105/'Energy data by fuel cycle'!$G$10</f>
        <v>0</v>
      </c>
      <c r="J105" s="157">
        <f>'Absolute Volume'!J105/'Energy data by fuel cycle'!$G$10</f>
        <v>0</v>
      </c>
      <c r="K105" s="158">
        <f>'Absolute Volume'!K105/'Energy data by fuel cycle'!$G$10</f>
        <v>0</v>
      </c>
      <c r="L105" s="158">
        <f>'Absolute Volume'!L105/'Energy data by fuel cycle'!$G$10</f>
        <v>0</v>
      </c>
      <c r="M105" s="157">
        <f>'Absolute Volume'!M105/'Energy data by fuel cycle'!$G$10</f>
        <v>0</v>
      </c>
      <c r="N105" s="157">
        <f>'Absolute Volume'!N105/'Energy data by fuel cycle'!$G$10</f>
        <v>0</v>
      </c>
      <c r="O105" s="157">
        <f>'Absolute Volume'!O105/'Energy data by fuel cycle'!$G$10</f>
        <v>0</v>
      </c>
      <c r="P105" s="157">
        <f>'Absolute Volume'!P105/'Energy data by fuel cycle'!$G$10</f>
        <v>0</v>
      </c>
      <c r="Q105" s="78">
        <f>'Absolute Volume'!Q105/'Energy data by fuel cycle'!$G$10</f>
        <v>0</v>
      </c>
      <c r="R105" s="132">
        <f>'Absolute Volume'!R105/'Energy data by fuel cycle'!$G$10</f>
        <v>0</v>
      </c>
      <c r="S105" s="159">
        <f>'Absolute Volume'!S105/'Energy data by fuel cycle'!$G$10</f>
        <v>0</v>
      </c>
      <c r="T105" s="77"/>
    </row>
    <row r="106" spans="1:20" s="11" customFormat="1" ht="14" customHeight="1">
      <c r="A106" s="77"/>
      <c r="B106" s="755"/>
      <c r="C106" s="144" t="s">
        <v>9</v>
      </c>
      <c r="D106" s="145" t="s">
        <v>13</v>
      </c>
      <c r="E106" s="477">
        <f>'Absolute Volume'!E106/'Energy data by fuel cycle'!$G$10</f>
        <v>0</v>
      </c>
      <c r="F106" s="163">
        <f>'Absolute Volume'!F106/'Energy data by fuel cycle'!$G$10</f>
        <v>0</v>
      </c>
      <c r="G106" s="163">
        <f>'Absolute Volume'!G106/'Energy data by fuel cycle'!$G$10</f>
        <v>0</v>
      </c>
      <c r="H106" s="163">
        <f>'Absolute Volume'!H106/'Energy data by fuel cycle'!$G$10</f>
        <v>0</v>
      </c>
      <c r="I106" s="163">
        <f>'Absolute Volume'!I106/'Energy data by fuel cycle'!$G$10</f>
        <v>0</v>
      </c>
      <c r="J106" s="163">
        <f>'Absolute Volume'!J106/'Energy data by fuel cycle'!$G$10</f>
        <v>0</v>
      </c>
      <c r="K106" s="164">
        <f>'Absolute Volume'!K106/'Energy data by fuel cycle'!$G$10</f>
        <v>0</v>
      </c>
      <c r="L106" s="164">
        <f>'Absolute Volume'!L106/'Energy data by fuel cycle'!$G$10</f>
        <v>0</v>
      </c>
      <c r="M106" s="163">
        <f>'Absolute Volume'!M106/'Energy data by fuel cycle'!$G$10</f>
        <v>0</v>
      </c>
      <c r="N106" s="163">
        <f>'Absolute Volume'!N106/'Energy data by fuel cycle'!$G$10</f>
        <v>0</v>
      </c>
      <c r="O106" s="163">
        <f>'Absolute Volume'!O106/'Energy data by fuel cycle'!$G$10</f>
        <v>0</v>
      </c>
      <c r="P106" s="163">
        <f>'Absolute Volume'!P106/'Energy data by fuel cycle'!$G$10</f>
        <v>0</v>
      </c>
      <c r="Q106" s="147">
        <f>'Absolute Volume'!Q106/'Energy data by fuel cycle'!$G$10</f>
        <v>0</v>
      </c>
      <c r="R106" s="148">
        <f>'Absolute Volume'!R106/'Energy data by fuel cycle'!$G$10</f>
        <v>0</v>
      </c>
      <c r="S106" s="165">
        <f>'Absolute Volume'!S106/'Energy data by fuel cycle'!$G$10</f>
        <v>0</v>
      </c>
      <c r="T106" s="77"/>
    </row>
    <row r="107" spans="1:20" s="11" customFormat="1" ht="14" customHeight="1">
      <c r="A107" s="77"/>
      <c r="B107" s="755"/>
      <c r="C107" s="129" t="s">
        <v>8</v>
      </c>
      <c r="D107" s="130" t="s">
        <v>0</v>
      </c>
      <c r="E107" s="476">
        <f>'Absolute Volume'!E107/'Energy data by fuel cycle'!$G$10</f>
        <v>0</v>
      </c>
      <c r="F107" s="157">
        <f>'Absolute Volume'!F107/'Energy data by fuel cycle'!$G$10</f>
        <v>0</v>
      </c>
      <c r="G107" s="157">
        <f>'Absolute Volume'!G107/'Energy data by fuel cycle'!$G$10</f>
        <v>9.2422999019257691E-3</v>
      </c>
      <c r="H107" s="157">
        <f>'Absolute Volume'!H107/'Energy data by fuel cycle'!$G$10</f>
        <v>0.1155287487740721</v>
      </c>
      <c r="I107" s="157">
        <f>'Absolute Volume'!I107/'Energy data by fuel cycle'!$G$10</f>
        <v>0</v>
      </c>
      <c r="J107" s="157">
        <f>'Absolute Volume'!J107/'Energy data by fuel cycle'!$G$10</f>
        <v>0</v>
      </c>
      <c r="K107" s="158">
        <f>'Absolute Volume'!K107/'Energy data by fuel cycle'!$G$10</f>
        <v>0.16706562858739232</v>
      </c>
      <c r="L107" s="158">
        <f>'Absolute Volume'!L107/'Energy data by fuel cycle'!$G$10</f>
        <v>10.326878967894823</v>
      </c>
      <c r="M107" s="157">
        <f>'Absolute Volume'!M107/'Energy data by fuel cycle'!$G$10</f>
        <v>6.0558819281657628E-2</v>
      </c>
      <c r="N107" s="157">
        <f>'Absolute Volume'!N107/'Energy data by fuel cycle'!$G$10</f>
        <v>9.9697360560447347E-3</v>
      </c>
      <c r="O107" s="157">
        <f>'Absolute Volume'!O107/'Energy data by fuel cycle'!$G$10</f>
        <v>-4.2544883704773641E-2</v>
      </c>
      <c r="P107" s="157">
        <f>'Absolute Volume'!P107/'Energy data by fuel cycle'!$G$10</f>
        <v>-4.2544883704773641E-2</v>
      </c>
      <c r="Q107" s="78">
        <f>'Absolute Volume'!Q107/'Energy data by fuel cycle'!$G$10</f>
        <v>0.23686674777097572</v>
      </c>
      <c r="R107" s="132">
        <f>'Absolute Volume'!R107/'Energy data by fuel cycle'!$G$10</f>
        <v>10.452377452724939</v>
      </c>
      <c r="S107" s="159">
        <f>'Absolute Volume'!S107/'Energy data by fuel cycle'!$G$10</f>
        <v>-4.2544883704773641E-2</v>
      </c>
      <c r="T107" s="77"/>
    </row>
    <row r="108" spans="1:20" s="11" customFormat="1" ht="14" customHeight="1">
      <c r="A108" s="77"/>
      <c r="B108" s="755"/>
      <c r="C108" s="129" t="s">
        <v>8</v>
      </c>
      <c r="D108" s="134" t="s">
        <v>7</v>
      </c>
      <c r="E108" s="476">
        <f>'Absolute Volume'!E108/'Energy data by fuel cycle'!$G$10</f>
        <v>0</v>
      </c>
      <c r="F108" s="157">
        <f>'Absolute Volume'!F108/'Energy data by fuel cycle'!$G$10</f>
        <v>0</v>
      </c>
      <c r="G108" s="157">
        <f>'Absolute Volume'!G108/'Energy data by fuel cycle'!$G$10</f>
        <v>0</v>
      </c>
      <c r="H108" s="157">
        <f>'Absolute Volume'!H108/'Energy data by fuel cycle'!$G$10</f>
        <v>0</v>
      </c>
      <c r="I108" s="157">
        <f>'Absolute Volume'!I108/'Energy data by fuel cycle'!$G$10</f>
        <v>0</v>
      </c>
      <c r="J108" s="157">
        <f>'Absolute Volume'!J108/'Energy data by fuel cycle'!$G$10</f>
        <v>0</v>
      </c>
      <c r="K108" s="158">
        <f>'Absolute Volume'!K108/'Energy data by fuel cycle'!$G$10</f>
        <v>6.9909414554104859E-3</v>
      </c>
      <c r="L108" s="158">
        <f>'Absolute Volume'!L108/'Energy data by fuel cycle'!$G$10</f>
        <v>0.68861727815968632</v>
      </c>
      <c r="M108" s="157">
        <f>'Absolute Volume'!M108/'Energy data by fuel cycle'!$G$10</f>
        <v>2.1169244811367382E-3</v>
      </c>
      <c r="N108" s="157">
        <f>'Absolute Volume'!N108/'Energy data by fuel cycle'!$G$10</f>
        <v>0</v>
      </c>
      <c r="O108" s="157">
        <f>'Absolute Volume'!O108/'Energy data by fuel cycle'!$G$10</f>
        <v>0</v>
      </c>
      <c r="P108" s="157">
        <f>'Absolute Volume'!P108/'Energy data by fuel cycle'!$G$10</f>
        <v>0</v>
      </c>
      <c r="Q108" s="78">
        <f>'Absolute Volume'!Q108/'Energy data by fuel cycle'!$G$10</f>
        <v>9.1078659365472232E-3</v>
      </c>
      <c r="R108" s="132">
        <f>'Absolute Volume'!R108/'Energy data by fuel cycle'!$G$10</f>
        <v>0.68861727815968632</v>
      </c>
      <c r="S108" s="159">
        <f>'Absolute Volume'!S108/'Energy data by fuel cycle'!$G$10</f>
        <v>0</v>
      </c>
      <c r="T108" s="77"/>
    </row>
    <row r="109" spans="1:20" s="11" customFormat="1" ht="14" customHeight="1">
      <c r="A109" s="77"/>
      <c r="B109" s="755"/>
      <c r="C109" s="129" t="s">
        <v>8</v>
      </c>
      <c r="D109" s="135" t="s">
        <v>1</v>
      </c>
      <c r="E109" s="476">
        <f>'Absolute Volume'!E109/'Energy data by fuel cycle'!$G$10</f>
        <v>0</v>
      </c>
      <c r="F109" s="157">
        <f>'Absolute Volume'!F109/'Energy data by fuel cycle'!$G$10</f>
        <v>0</v>
      </c>
      <c r="G109" s="157">
        <f>'Absolute Volume'!G109/'Energy data by fuel cycle'!$G$10</f>
        <v>0</v>
      </c>
      <c r="H109" s="157">
        <f>'Absolute Volume'!H109/'Energy data by fuel cycle'!$G$10</f>
        <v>0</v>
      </c>
      <c r="I109" s="157">
        <f>'Absolute Volume'!I109/'Energy data by fuel cycle'!$G$10</f>
        <v>0</v>
      </c>
      <c r="J109" s="157">
        <f>'Absolute Volume'!J109/'Energy data by fuel cycle'!$G$10</f>
        <v>0</v>
      </c>
      <c r="K109" s="158">
        <f>'Absolute Volume'!K109/'Energy data by fuel cycle'!$G$10</f>
        <v>4.4989635950713888E-3</v>
      </c>
      <c r="L109" s="158">
        <f>'Absolute Volume'!L109/'Energy data by fuel cycle'!$G$10</f>
        <v>0.57459533637609339</v>
      </c>
      <c r="M109" s="157">
        <f>'Absolute Volume'!M109/'Energy data by fuel cycle'!$G$10</f>
        <v>1.3623295567407028E-3</v>
      </c>
      <c r="N109" s="157">
        <f>'Absolute Volume'!N109/'Energy data by fuel cycle'!$G$10</f>
        <v>0</v>
      </c>
      <c r="O109" s="157">
        <f>'Absolute Volume'!O109/'Energy data by fuel cycle'!$G$10</f>
        <v>0</v>
      </c>
      <c r="P109" s="157">
        <f>'Absolute Volume'!P109/'Energy data by fuel cycle'!$G$10</f>
        <v>0</v>
      </c>
      <c r="Q109" s="78">
        <f>'Absolute Volume'!Q109/'Energy data by fuel cycle'!$G$10</f>
        <v>5.8612931518120907E-3</v>
      </c>
      <c r="R109" s="132">
        <f>'Absolute Volume'!R109/'Energy data by fuel cycle'!$G$10</f>
        <v>0.57459533637609339</v>
      </c>
      <c r="S109" s="159">
        <f>'Absolute Volume'!S109/'Energy data by fuel cycle'!$G$10</f>
        <v>0</v>
      </c>
      <c r="T109" s="77"/>
    </row>
    <row r="110" spans="1:20" s="11" customFormat="1" ht="14" customHeight="1">
      <c r="A110" s="77"/>
      <c r="B110" s="755"/>
      <c r="C110" s="136" t="s">
        <v>8</v>
      </c>
      <c r="D110" s="137" t="s">
        <v>13</v>
      </c>
      <c r="E110" s="478">
        <f>'Absolute Volume'!E110/'Energy data by fuel cycle'!$G$10</f>
        <v>0</v>
      </c>
      <c r="F110" s="160">
        <f>'Absolute Volume'!F110/'Energy data by fuel cycle'!$G$10</f>
        <v>0</v>
      </c>
      <c r="G110" s="160">
        <f>'Absolute Volume'!G110/'Energy data by fuel cycle'!$G$10</f>
        <v>0</v>
      </c>
      <c r="H110" s="160">
        <f>'Absolute Volume'!H110/'Energy data by fuel cycle'!$G$10</f>
        <v>0</v>
      </c>
      <c r="I110" s="160">
        <f>'Absolute Volume'!I110/'Energy data by fuel cycle'!$G$10</f>
        <v>0</v>
      </c>
      <c r="J110" s="160">
        <f>'Absolute Volume'!J110/'Energy data by fuel cycle'!$G$10</f>
        <v>0</v>
      </c>
      <c r="K110" s="161">
        <f>'Absolute Volume'!K110/'Energy data by fuel cycle'!$G$10</f>
        <v>0</v>
      </c>
      <c r="L110" s="161">
        <f>'Absolute Volume'!L110/'Energy data by fuel cycle'!$G$10</f>
        <v>0</v>
      </c>
      <c r="M110" s="160">
        <f>'Absolute Volume'!M110/'Energy data by fuel cycle'!$G$10</f>
        <v>0</v>
      </c>
      <c r="N110" s="160">
        <f>'Absolute Volume'!N110/'Energy data by fuel cycle'!$G$10</f>
        <v>0</v>
      </c>
      <c r="O110" s="160">
        <f>'Absolute Volume'!O110/'Energy data by fuel cycle'!$G$10</f>
        <v>0</v>
      </c>
      <c r="P110" s="160">
        <f>'Absolute Volume'!P110/'Energy data by fuel cycle'!$G$10</f>
        <v>0</v>
      </c>
      <c r="Q110" s="139">
        <f>'Absolute Volume'!Q110/'Energy data by fuel cycle'!$G$10</f>
        <v>0</v>
      </c>
      <c r="R110" s="140">
        <f>'Absolute Volume'!R110/'Energy data by fuel cycle'!$G$10</f>
        <v>0</v>
      </c>
      <c r="S110" s="162">
        <f>'Absolute Volume'!S110/'Energy data by fuel cycle'!$G$10</f>
        <v>0</v>
      </c>
      <c r="T110" s="77"/>
    </row>
    <row r="111" spans="1:20" s="11" customFormat="1" ht="14" customHeight="1">
      <c r="A111" s="77"/>
      <c r="B111" s="755"/>
      <c r="C111" s="150" t="s">
        <v>10</v>
      </c>
      <c r="D111" s="143" t="s">
        <v>0</v>
      </c>
      <c r="E111" s="476">
        <f>'Absolute Volume'!E111/'Energy data by fuel cycle'!$G$10</f>
        <v>0</v>
      </c>
      <c r="F111" s="157">
        <f>'Absolute Volume'!F111/'Energy data by fuel cycle'!$G$10</f>
        <v>0</v>
      </c>
      <c r="G111" s="157">
        <f>'Absolute Volume'!G111/'Energy data by fuel cycle'!$G$10</f>
        <v>0</v>
      </c>
      <c r="H111" s="157">
        <f>'Absolute Volume'!H111/'Energy data by fuel cycle'!$G$10</f>
        <v>0</v>
      </c>
      <c r="I111" s="157">
        <f>'Absolute Volume'!I111/'Energy data by fuel cycle'!$G$10</f>
        <v>0</v>
      </c>
      <c r="J111" s="157">
        <f>'Absolute Volume'!J111/'Energy data by fuel cycle'!$G$10</f>
        <v>0</v>
      </c>
      <c r="K111" s="158">
        <f>'Absolute Volume'!K111/'Energy data by fuel cycle'!$G$10</f>
        <v>1.5157489526966936E-3</v>
      </c>
      <c r="L111" s="158">
        <f>'Absolute Volume'!L111/'Energy data by fuel cycle'!$G$10</f>
        <v>5.2087737265168925E-3</v>
      </c>
      <c r="M111" s="157">
        <f>'Absolute Volume'!M111/'Energy data by fuel cycle'!$G$10</f>
        <v>4.6400934260868348E-4</v>
      </c>
      <c r="N111" s="157">
        <f>'Absolute Volume'!N111/'Energy data by fuel cycle'!$G$10</f>
        <v>5.0259444945884332E-6</v>
      </c>
      <c r="O111" s="157">
        <f>'Absolute Volume'!O111/'Energy data by fuel cycle'!$G$10</f>
        <v>0</v>
      </c>
      <c r="P111" s="157">
        <f>'Absolute Volume'!P111/'Energy data by fuel cycle'!$G$10</f>
        <v>0</v>
      </c>
      <c r="Q111" s="78">
        <f>'Absolute Volume'!Q111/'Energy data by fuel cycle'!$G$10</f>
        <v>1.9797582953053768E-3</v>
      </c>
      <c r="R111" s="132">
        <f>'Absolute Volume'!R111/'Energy data by fuel cycle'!$G$10</f>
        <v>5.2137996710114815E-3</v>
      </c>
      <c r="S111" s="159">
        <f>'Absolute Volume'!S111/'Energy data by fuel cycle'!$G$10</f>
        <v>0</v>
      </c>
      <c r="T111" s="77"/>
    </row>
    <row r="112" spans="1:20" s="11" customFormat="1" ht="14" customHeight="1">
      <c r="A112" s="77"/>
      <c r="B112" s="755"/>
      <c r="C112" s="150" t="s">
        <v>10</v>
      </c>
      <c r="D112" s="134" t="s">
        <v>7</v>
      </c>
      <c r="E112" s="476">
        <f>'Absolute Volume'!E112/'Energy data by fuel cycle'!$G$10</f>
        <v>0</v>
      </c>
      <c r="F112" s="157">
        <f>'Absolute Volume'!F112/'Energy data by fuel cycle'!$G$10</f>
        <v>0</v>
      </c>
      <c r="G112" s="157">
        <f>'Absolute Volume'!G112/'Energy data by fuel cycle'!$G$10</f>
        <v>0</v>
      </c>
      <c r="H112" s="157">
        <f>'Absolute Volume'!H112/'Energy data by fuel cycle'!$G$10</f>
        <v>0</v>
      </c>
      <c r="I112" s="157">
        <f>'Absolute Volume'!I112/'Energy data by fuel cycle'!$G$10</f>
        <v>0</v>
      </c>
      <c r="J112" s="157">
        <f>'Absolute Volume'!J112/'Energy data by fuel cycle'!$G$10</f>
        <v>0</v>
      </c>
      <c r="K112" s="158">
        <f>'Absolute Volume'!K112/'Energy data by fuel cycle'!$G$10</f>
        <v>6.300797661638809E-5</v>
      </c>
      <c r="L112" s="158">
        <f>'Absolute Volume'!L112/'Energy data by fuel cycle'!$G$10</f>
        <v>3.4736271054398198E-4</v>
      </c>
      <c r="M112" s="157">
        <f>'Absolute Volume'!M112/'Energy data by fuel cycle'!$G$10</f>
        <v>1.9079422858404015E-5</v>
      </c>
      <c r="N112" s="157">
        <f>'Absolute Volume'!N112/'Energy data by fuel cycle'!$G$10</f>
        <v>0</v>
      </c>
      <c r="O112" s="157">
        <f>'Absolute Volume'!O112/'Energy data by fuel cycle'!$G$10</f>
        <v>0</v>
      </c>
      <c r="P112" s="157">
        <f>'Absolute Volume'!P112/'Energy data by fuel cycle'!$G$10</f>
        <v>0</v>
      </c>
      <c r="Q112" s="78">
        <f>'Absolute Volume'!Q112/'Energy data by fuel cycle'!$G$10</f>
        <v>8.2087399474792101E-5</v>
      </c>
      <c r="R112" s="132">
        <f>'Absolute Volume'!R112/'Energy data by fuel cycle'!$G$10</f>
        <v>3.4736271054398198E-4</v>
      </c>
      <c r="S112" s="159">
        <f>'Absolute Volume'!S112/'Energy data by fuel cycle'!$G$10</f>
        <v>0</v>
      </c>
      <c r="T112" s="77"/>
    </row>
    <row r="113" spans="1:20" s="11" customFormat="1" ht="14" customHeight="1">
      <c r="A113" s="77"/>
      <c r="B113" s="755"/>
      <c r="C113" s="150" t="s">
        <v>10</v>
      </c>
      <c r="D113" s="135" t="s">
        <v>1</v>
      </c>
      <c r="E113" s="476">
        <f>'Absolute Volume'!E113/'Energy data by fuel cycle'!$G$10</f>
        <v>0</v>
      </c>
      <c r="F113" s="157">
        <f>'Absolute Volume'!F113/'Energy data by fuel cycle'!$G$10</f>
        <v>0</v>
      </c>
      <c r="G113" s="157">
        <f>'Absolute Volume'!G113/'Energy data by fuel cycle'!$G$10</f>
        <v>0</v>
      </c>
      <c r="H113" s="157">
        <f>'Absolute Volume'!H113/'Energy data by fuel cycle'!$G$10</f>
        <v>0</v>
      </c>
      <c r="I113" s="157">
        <f>'Absolute Volume'!I113/'Energy data by fuel cycle'!$G$10</f>
        <v>0</v>
      </c>
      <c r="J113" s="157">
        <f>'Absolute Volume'!J113/'Energy data by fuel cycle'!$G$10</f>
        <v>0</v>
      </c>
      <c r="K113" s="158">
        <f>'Absolute Volume'!K113/'Energy data by fuel cycle'!$G$10</f>
        <v>3.6313481134711156E-5</v>
      </c>
      <c r="L113" s="158">
        <f>'Absolute Volume'!L113/'Energy data by fuel cycle'!$G$10</f>
        <v>2.8666187304831383E-4</v>
      </c>
      <c r="M113" s="157">
        <f>'Absolute Volume'!M113/'Energy data by fuel cycle'!$G$10</f>
        <v>1.099607223142643E-5</v>
      </c>
      <c r="N113" s="157">
        <f>'Absolute Volume'!N113/'Energy data by fuel cycle'!$G$10</f>
        <v>0</v>
      </c>
      <c r="O113" s="157">
        <f>'Absolute Volume'!O113/'Energy data by fuel cycle'!$G$10</f>
        <v>0</v>
      </c>
      <c r="P113" s="157">
        <f>'Absolute Volume'!P113/'Energy data by fuel cycle'!$G$10</f>
        <v>0</v>
      </c>
      <c r="Q113" s="78">
        <f>'Absolute Volume'!Q113/'Energy data by fuel cycle'!$G$10</f>
        <v>4.7309553366137584E-5</v>
      </c>
      <c r="R113" s="132">
        <f>'Absolute Volume'!R113/'Energy data by fuel cycle'!$G$10</f>
        <v>2.8666187304831383E-4</v>
      </c>
      <c r="S113" s="159">
        <f>'Absolute Volume'!S113/'Energy data by fuel cycle'!$G$10</f>
        <v>0</v>
      </c>
      <c r="T113" s="77"/>
    </row>
    <row r="114" spans="1:20" s="11" customFormat="1" ht="14" customHeight="1" thickBot="1">
      <c r="A114" s="77"/>
      <c r="B114" s="755"/>
      <c r="C114" s="150" t="s">
        <v>10</v>
      </c>
      <c r="D114" s="166" t="s">
        <v>13</v>
      </c>
      <c r="E114" s="476">
        <f>'Absolute Volume'!E114/'Energy data by fuel cycle'!$G$10</f>
        <v>0</v>
      </c>
      <c r="F114" s="157">
        <f>'Absolute Volume'!F114/'Energy data by fuel cycle'!$G$10</f>
        <v>0</v>
      </c>
      <c r="G114" s="157">
        <f>'Absolute Volume'!G114/'Energy data by fuel cycle'!$G$10</f>
        <v>0</v>
      </c>
      <c r="H114" s="157">
        <f>'Absolute Volume'!H114/'Energy data by fuel cycle'!$G$10</f>
        <v>0</v>
      </c>
      <c r="I114" s="157">
        <f>'Absolute Volume'!I114/'Energy data by fuel cycle'!$G$10</f>
        <v>0</v>
      </c>
      <c r="J114" s="157">
        <f>'Absolute Volume'!J114/'Energy data by fuel cycle'!$G$10</f>
        <v>0</v>
      </c>
      <c r="K114" s="158">
        <f>'Absolute Volume'!K114/'Energy data by fuel cycle'!$G$10</f>
        <v>0</v>
      </c>
      <c r="L114" s="158">
        <f>'Absolute Volume'!L114/'Energy data by fuel cycle'!$G$10</f>
        <v>0</v>
      </c>
      <c r="M114" s="157">
        <f>'Absolute Volume'!M114/'Energy data by fuel cycle'!$G$10</f>
        <v>0</v>
      </c>
      <c r="N114" s="157">
        <f>'Absolute Volume'!N114/'Energy data by fuel cycle'!$G$10</f>
        <v>0</v>
      </c>
      <c r="O114" s="157">
        <f>'Absolute Volume'!O114/'Energy data by fuel cycle'!$G$10</f>
        <v>0</v>
      </c>
      <c r="P114" s="157">
        <f>'Absolute Volume'!P114/'Energy data by fuel cycle'!$G$10</f>
        <v>0</v>
      </c>
      <c r="Q114" s="78">
        <f>'Absolute Volume'!Q114/'Energy data by fuel cycle'!$G$10</f>
        <v>0</v>
      </c>
      <c r="R114" s="132">
        <f>'Absolute Volume'!R114/'Energy data by fuel cycle'!$G$10</f>
        <v>0</v>
      </c>
      <c r="S114" s="159">
        <f>'Absolute Volume'!S114/'Energy data by fuel cycle'!$G$10</f>
        <v>0</v>
      </c>
      <c r="T114" s="77"/>
    </row>
    <row r="115" spans="1:20" s="11" customFormat="1" ht="30" customHeight="1" thickBot="1">
      <c r="A115" s="77"/>
      <c r="B115" s="793" t="s">
        <v>22</v>
      </c>
      <c r="C115" s="794"/>
      <c r="D115" s="794"/>
      <c r="E115" s="794"/>
      <c r="F115" s="794"/>
      <c r="G115" s="794"/>
      <c r="H115" s="794"/>
      <c r="I115" s="794"/>
      <c r="J115" s="794"/>
      <c r="K115" s="794"/>
      <c r="L115" s="794"/>
      <c r="M115" s="794"/>
      <c r="N115" s="794"/>
      <c r="O115" s="794"/>
      <c r="P115" s="794"/>
      <c r="Q115" s="794"/>
      <c r="R115" s="794"/>
      <c r="S115" s="795"/>
      <c r="T115" s="77"/>
    </row>
    <row r="116" spans="1:20" s="11" customFormat="1" ht="14" customHeight="1">
      <c r="A116" s="77"/>
      <c r="B116" s="755" t="s">
        <v>856</v>
      </c>
      <c r="C116" s="120"/>
      <c r="D116" s="156"/>
      <c r="E116" s="759" t="s">
        <v>591</v>
      </c>
      <c r="F116" s="760"/>
      <c r="G116" s="756" t="s">
        <v>66</v>
      </c>
      <c r="H116" s="756"/>
      <c r="I116" s="742" t="s">
        <v>67</v>
      </c>
      <c r="J116" s="742"/>
      <c r="K116" s="743" t="s">
        <v>68</v>
      </c>
      <c r="L116" s="743"/>
      <c r="M116" s="744" t="s">
        <v>69</v>
      </c>
      <c r="N116" s="744"/>
      <c r="O116" s="745" t="s">
        <v>413</v>
      </c>
      <c r="P116" s="745"/>
      <c r="Q116" s="121" t="s">
        <v>763</v>
      </c>
      <c r="R116" s="122" t="s">
        <v>763</v>
      </c>
      <c r="S116" s="123" t="s">
        <v>763</v>
      </c>
      <c r="T116" s="77"/>
    </row>
    <row r="117" spans="1:20" s="11" customFormat="1" ht="14" customHeight="1">
      <c r="A117" s="77"/>
      <c r="B117" s="755"/>
      <c r="C117" s="120"/>
      <c r="D117" s="156"/>
      <c r="E117" s="469" t="s">
        <v>209</v>
      </c>
      <c r="F117" s="414" t="s">
        <v>208</v>
      </c>
      <c r="G117" s="414" t="s">
        <v>209</v>
      </c>
      <c r="H117" s="414" t="s">
        <v>208</v>
      </c>
      <c r="I117" s="414" t="s">
        <v>209</v>
      </c>
      <c r="J117" s="414" t="s">
        <v>208</v>
      </c>
      <c r="K117" s="414" t="s">
        <v>209</v>
      </c>
      <c r="L117" s="414" t="s">
        <v>208</v>
      </c>
      <c r="M117" s="414" t="s">
        <v>209</v>
      </c>
      <c r="N117" s="414" t="s">
        <v>208</v>
      </c>
      <c r="O117" s="414" t="s">
        <v>209</v>
      </c>
      <c r="P117" s="414" t="s">
        <v>208</v>
      </c>
      <c r="Q117" s="121" t="s">
        <v>209</v>
      </c>
      <c r="R117" s="468" t="s">
        <v>208</v>
      </c>
      <c r="S117" s="123" t="s">
        <v>413</v>
      </c>
      <c r="T117" s="77"/>
    </row>
    <row r="118" spans="1:20" s="11" customFormat="1" ht="28" customHeight="1">
      <c r="A118" s="77"/>
      <c r="B118" s="755"/>
      <c r="C118" s="124" t="s">
        <v>761</v>
      </c>
      <c r="D118" s="125" t="s">
        <v>762</v>
      </c>
      <c r="E118" s="126">
        <f t="shared" ref="E118:S118" si="7">SUM(E119:E130)</f>
        <v>0.11298252148023877</v>
      </c>
      <c r="F118" s="126">
        <f t="shared" si="7"/>
        <v>0.11297575084337505</v>
      </c>
      <c r="G118" s="126">
        <f t="shared" si="7"/>
        <v>0</v>
      </c>
      <c r="H118" s="126">
        <f t="shared" si="7"/>
        <v>0</v>
      </c>
      <c r="I118" s="126">
        <f t="shared" si="7"/>
        <v>0</v>
      </c>
      <c r="J118" s="126">
        <f t="shared" si="7"/>
        <v>0</v>
      </c>
      <c r="K118" s="126">
        <f t="shared" si="7"/>
        <v>0.41402659818640614</v>
      </c>
      <c r="L118" s="126">
        <f t="shared" si="7"/>
        <v>21.93651235636521</v>
      </c>
      <c r="M118" s="126">
        <f t="shared" si="7"/>
        <v>1.4215731068128642E-2</v>
      </c>
      <c r="N118" s="126">
        <f t="shared" si="7"/>
        <v>1.4215731068128642E-2</v>
      </c>
      <c r="O118" s="126">
        <f t="shared" si="7"/>
        <v>-7.8107147964283141E-2</v>
      </c>
      <c r="P118" s="126">
        <f t="shared" si="7"/>
        <v>-7.8107147964283141E-2</v>
      </c>
      <c r="Q118" s="79">
        <f t="shared" si="7"/>
        <v>0.54122485073477355</v>
      </c>
      <c r="R118" s="127">
        <f t="shared" si="7"/>
        <v>22.063703838276719</v>
      </c>
      <c r="S118" s="128">
        <f t="shared" si="7"/>
        <v>-7.8107147964283141E-2</v>
      </c>
      <c r="T118" s="77"/>
    </row>
    <row r="119" spans="1:20" s="11" customFormat="1" ht="14" customHeight="1">
      <c r="A119" s="77"/>
      <c r="B119" s="755"/>
      <c r="C119" s="142" t="s">
        <v>9</v>
      </c>
      <c r="D119" s="143" t="s">
        <v>0</v>
      </c>
      <c r="E119" s="475">
        <f>'Absolute Volume'!E119/'Energy data by fuel cycle'!$G$11</f>
        <v>0.11298252148023877</v>
      </c>
      <c r="F119" s="157">
        <f>'Absolute Volume'!F119/'Energy data by fuel cycle'!$G$11</f>
        <v>0.11297575084337505</v>
      </c>
      <c r="G119" s="157">
        <f>'Absolute Volume'!G119/'Energy data by fuel cycle'!$G$11</f>
        <v>0</v>
      </c>
      <c r="H119" s="157">
        <f>'Absolute Volume'!H119/'Energy data by fuel cycle'!$G$11</f>
        <v>0</v>
      </c>
      <c r="I119" s="157">
        <f>'Absolute Volume'!I119/'Energy data by fuel cycle'!$G$11</f>
        <v>0</v>
      </c>
      <c r="J119" s="157">
        <f>'Absolute Volume'!J119/'Energy data by fuel cycle'!$G$11</f>
        <v>0</v>
      </c>
      <c r="K119" s="158">
        <f>'Absolute Volume'!K119/'Energy data by fuel cycle'!$G$11</f>
        <v>2.8829166896980042E-2</v>
      </c>
      <c r="L119" s="158">
        <f>'Absolute Volume'!L119/'Energy data by fuel cycle'!$G$11</f>
        <v>3.2032966733391954E-2</v>
      </c>
      <c r="M119" s="157">
        <f>'Absolute Volume'!M119/'Energy data by fuel cycle'!$G$11</f>
        <v>3.1829160702096063E-5</v>
      </c>
      <c r="N119" s="157">
        <f>'Absolute Volume'!N119/'Energy data by fuel cycle'!$G$11</f>
        <v>3.1829160702096063E-5</v>
      </c>
      <c r="O119" s="157">
        <f>'Absolute Volume'!O119/'Energy data by fuel cycle'!$G$11</f>
        <v>0</v>
      </c>
      <c r="P119" s="157">
        <f>'Absolute Volume'!P119/'Energy data by fuel cycle'!$G$11</f>
        <v>0</v>
      </c>
      <c r="Q119" s="78">
        <f>'Absolute Volume'!Q119/'Energy data by fuel cycle'!$G$11</f>
        <v>0.1418435175379209</v>
      </c>
      <c r="R119" s="132">
        <f>'Absolute Volume'!R119/'Energy data by fuel cycle'!$G$11</f>
        <v>0.14504054673746911</v>
      </c>
      <c r="S119" s="159">
        <f>'Absolute Volume'!S119/'Energy data by fuel cycle'!$G$11</f>
        <v>0</v>
      </c>
      <c r="T119" s="77"/>
    </row>
    <row r="120" spans="1:20" s="11" customFormat="1" ht="14" customHeight="1">
      <c r="A120" s="77"/>
      <c r="B120" s="755"/>
      <c r="C120" s="142" t="s">
        <v>9</v>
      </c>
      <c r="D120" s="134" t="s">
        <v>7</v>
      </c>
      <c r="E120" s="476">
        <f>'Absolute Volume'!E120/'Energy data by fuel cycle'!$G$11</f>
        <v>0</v>
      </c>
      <c r="F120" s="157">
        <f>'Absolute Volume'!F120/'Energy data by fuel cycle'!$G$11</f>
        <v>0</v>
      </c>
      <c r="G120" s="157">
        <f>'Absolute Volume'!G120/'Energy data by fuel cycle'!$G$11</f>
        <v>0</v>
      </c>
      <c r="H120" s="157">
        <f>'Absolute Volume'!H120/'Energy data by fuel cycle'!$G$11</f>
        <v>0</v>
      </c>
      <c r="I120" s="157">
        <f>'Absolute Volume'!I120/'Energy data by fuel cycle'!$G$11</f>
        <v>0</v>
      </c>
      <c r="J120" s="157">
        <f>'Absolute Volume'!J120/'Energy data by fuel cycle'!$G$11</f>
        <v>0</v>
      </c>
      <c r="K120" s="158">
        <f>'Absolute Volume'!K120/'Energy data by fuel cycle'!$G$11</f>
        <v>0</v>
      </c>
      <c r="L120" s="158">
        <f>'Absolute Volume'!L120/'Energy data by fuel cycle'!$G$11</f>
        <v>0</v>
      </c>
      <c r="M120" s="157">
        <f>'Absolute Volume'!M120/'Energy data by fuel cycle'!$G$11</f>
        <v>0</v>
      </c>
      <c r="N120" s="157">
        <f>'Absolute Volume'!N120/'Energy data by fuel cycle'!$G$11</f>
        <v>0</v>
      </c>
      <c r="O120" s="157">
        <f>'Absolute Volume'!O120/'Energy data by fuel cycle'!$G$11</f>
        <v>0</v>
      </c>
      <c r="P120" s="157">
        <f>'Absolute Volume'!P120/'Energy data by fuel cycle'!$G$11</f>
        <v>0</v>
      </c>
      <c r="Q120" s="78">
        <f>'Absolute Volume'!Q120/'Energy data by fuel cycle'!$G$11</f>
        <v>0</v>
      </c>
      <c r="R120" s="132">
        <f>'Absolute Volume'!R120/'Energy data by fuel cycle'!$G$11</f>
        <v>0</v>
      </c>
      <c r="S120" s="159">
        <f>'Absolute Volume'!S120/'Energy data by fuel cycle'!$G$11</f>
        <v>0</v>
      </c>
      <c r="T120" s="77"/>
    </row>
    <row r="121" spans="1:20" s="11" customFormat="1" ht="14" customHeight="1">
      <c r="A121" s="77"/>
      <c r="B121" s="755"/>
      <c r="C121" s="142" t="s">
        <v>9</v>
      </c>
      <c r="D121" s="135" t="s">
        <v>1</v>
      </c>
      <c r="E121" s="476">
        <f>'Absolute Volume'!E121/'Energy data by fuel cycle'!$G$11</f>
        <v>0</v>
      </c>
      <c r="F121" s="157">
        <f>'Absolute Volume'!F121/'Energy data by fuel cycle'!$G$11</f>
        <v>0</v>
      </c>
      <c r="G121" s="157">
        <f>'Absolute Volume'!G121/'Energy data by fuel cycle'!$G$11</f>
        <v>0</v>
      </c>
      <c r="H121" s="157">
        <f>'Absolute Volume'!H121/'Energy data by fuel cycle'!$G$11</f>
        <v>0</v>
      </c>
      <c r="I121" s="157">
        <f>'Absolute Volume'!I121/'Energy data by fuel cycle'!$G$11</f>
        <v>0</v>
      </c>
      <c r="J121" s="157">
        <f>'Absolute Volume'!J121/'Energy data by fuel cycle'!$G$11</f>
        <v>0</v>
      </c>
      <c r="K121" s="158">
        <f>'Absolute Volume'!K121/'Energy data by fuel cycle'!$G$11</f>
        <v>1.5433524182355359E-2</v>
      </c>
      <c r="L121" s="158">
        <f>'Absolute Volume'!L121/'Energy data by fuel cycle'!$G$11</f>
        <v>1.7083098679498435E-2</v>
      </c>
      <c r="M121" s="157">
        <f>'Absolute Volume'!M121/'Energy data by fuel cycle'!$G$11</f>
        <v>0</v>
      </c>
      <c r="N121" s="157">
        <f>'Absolute Volume'!N121/'Energy data by fuel cycle'!$G$11</f>
        <v>0</v>
      </c>
      <c r="O121" s="157">
        <f>'Absolute Volume'!O121/'Energy data by fuel cycle'!$G$11</f>
        <v>0</v>
      </c>
      <c r="P121" s="157">
        <f>'Absolute Volume'!P121/'Energy data by fuel cycle'!$G$11</f>
        <v>0</v>
      </c>
      <c r="Q121" s="78">
        <f>'Absolute Volume'!Q121/'Energy data by fuel cycle'!$G$11</f>
        <v>1.5433524182355359E-2</v>
      </c>
      <c r="R121" s="132">
        <f>'Absolute Volume'!R121/'Energy data by fuel cycle'!$G$11</f>
        <v>1.7083098679498435E-2</v>
      </c>
      <c r="S121" s="159">
        <f>'Absolute Volume'!S121/'Energy data by fuel cycle'!$G$11</f>
        <v>0</v>
      </c>
      <c r="T121" s="77"/>
    </row>
    <row r="122" spans="1:20" s="11" customFormat="1" ht="14" customHeight="1">
      <c r="A122" s="77"/>
      <c r="B122" s="755"/>
      <c r="C122" s="144" t="s">
        <v>9</v>
      </c>
      <c r="D122" s="145" t="s">
        <v>13</v>
      </c>
      <c r="E122" s="477">
        <f>'Absolute Volume'!E122/'Energy data by fuel cycle'!$G$11</f>
        <v>0</v>
      </c>
      <c r="F122" s="163">
        <f>'Absolute Volume'!F122/'Energy data by fuel cycle'!$G$11</f>
        <v>0</v>
      </c>
      <c r="G122" s="163">
        <f>'Absolute Volume'!G122/'Energy data by fuel cycle'!$G$11</f>
        <v>0</v>
      </c>
      <c r="H122" s="163">
        <f>'Absolute Volume'!H122/'Energy data by fuel cycle'!$G$11</f>
        <v>0</v>
      </c>
      <c r="I122" s="163">
        <f>'Absolute Volume'!I122/'Energy data by fuel cycle'!$G$11</f>
        <v>0</v>
      </c>
      <c r="J122" s="163">
        <f>'Absolute Volume'!J122/'Energy data by fuel cycle'!$G$11</f>
        <v>0</v>
      </c>
      <c r="K122" s="164">
        <f>'Absolute Volume'!K122/'Energy data by fuel cycle'!$G$11</f>
        <v>0</v>
      </c>
      <c r="L122" s="164">
        <f>'Absolute Volume'!L122/'Energy data by fuel cycle'!$G$11</f>
        <v>0</v>
      </c>
      <c r="M122" s="163">
        <f>'Absolute Volume'!M122/'Energy data by fuel cycle'!$G$11</f>
        <v>0</v>
      </c>
      <c r="N122" s="163">
        <f>'Absolute Volume'!N122/'Energy data by fuel cycle'!$G$11</f>
        <v>0</v>
      </c>
      <c r="O122" s="163">
        <f>'Absolute Volume'!O122/'Energy data by fuel cycle'!$G$11</f>
        <v>0</v>
      </c>
      <c r="P122" s="163">
        <f>'Absolute Volume'!P122/'Energy data by fuel cycle'!$G$11</f>
        <v>0</v>
      </c>
      <c r="Q122" s="147">
        <f>'Absolute Volume'!Q122/'Energy data by fuel cycle'!$G$11</f>
        <v>0</v>
      </c>
      <c r="R122" s="148">
        <f>'Absolute Volume'!R122/'Energy data by fuel cycle'!$G$11</f>
        <v>0</v>
      </c>
      <c r="S122" s="165">
        <f>'Absolute Volume'!S122/'Energy data by fuel cycle'!$G$11</f>
        <v>0</v>
      </c>
      <c r="T122" s="77"/>
    </row>
    <row r="123" spans="1:20" s="11" customFormat="1" ht="14" customHeight="1">
      <c r="A123" s="77"/>
      <c r="B123" s="755"/>
      <c r="C123" s="129" t="s">
        <v>8</v>
      </c>
      <c r="D123" s="130" t="s">
        <v>0</v>
      </c>
      <c r="E123" s="476">
        <f>'Absolute Volume'!E123/'Energy data by fuel cycle'!$G$11</f>
        <v>0</v>
      </c>
      <c r="F123" s="157">
        <f>'Absolute Volume'!F123/'Energy data by fuel cycle'!$G$11</f>
        <v>0</v>
      </c>
      <c r="G123" s="157">
        <f>'Absolute Volume'!G123/'Energy data by fuel cycle'!$G$11</f>
        <v>0</v>
      </c>
      <c r="H123" s="157">
        <f>'Absolute Volume'!H123/'Energy data by fuel cycle'!$G$11</f>
        <v>0</v>
      </c>
      <c r="I123" s="157">
        <f>'Absolute Volume'!I123/'Energy data by fuel cycle'!$G$11</f>
        <v>0</v>
      </c>
      <c r="J123" s="157">
        <f>'Absolute Volume'!J123/'Energy data by fuel cycle'!$G$11</f>
        <v>0</v>
      </c>
      <c r="K123" s="158">
        <f>'Absolute Volume'!K123/'Energy data by fuel cycle'!$G$11</f>
        <v>0.36956790793636474</v>
      </c>
      <c r="L123" s="158">
        <f>'Absolute Volume'!L123/'Energy data by fuel cycle'!$G$11</f>
        <v>21.887179327329982</v>
      </c>
      <c r="M123" s="157">
        <f>'Absolute Volume'!M123/'Energy data by fuel cycle'!$G$11</f>
        <v>1.4183761306384015E-2</v>
      </c>
      <c r="N123" s="157">
        <f>'Absolute Volume'!N123/'Energy data by fuel cycle'!$G$11</f>
        <v>1.4183761306384015E-2</v>
      </c>
      <c r="O123" s="157">
        <f>'Absolute Volume'!O123/'Energy data by fuel cycle'!$G$11</f>
        <v>-7.8107147964283141E-2</v>
      </c>
      <c r="P123" s="157">
        <f>'Absolute Volume'!P123/'Energy data by fuel cycle'!$G$11</f>
        <v>-7.8107147964283141E-2</v>
      </c>
      <c r="Q123" s="78">
        <f>'Absolute Volume'!Q123/'Energy data by fuel cycle'!$G$11</f>
        <v>0.38375166924274873</v>
      </c>
      <c r="R123" s="132">
        <f>'Absolute Volume'!R123/'Energy data by fuel cycle'!$G$11</f>
        <v>21.901363088636366</v>
      </c>
      <c r="S123" s="159">
        <f>'Absolute Volume'!S123/'Energy data by fuel cycle'!$G$11</f>
        <v>-7.8107147964283141E-2</v>
      </c>
      <c r="T123" s="77"/>
    </row>
    <row r="124" spans="1:20" s="11" customFormat="1" ht="14" customHeight="1">
      <c r="A124" s="77"/>
      <c r="B124" s="755"/>
      <c r="C124" s="129" t="s">
        <v>8</v>
      </c>
      <c r="D124" s="134" t="s">
        <v>7</v>
      </c>
      <c r="E124" s="476">
        <f>'Absolute Volume'!E124/'Energy data by fuel cycle'!$G$11</f>
        <v>0</v>
      </c>
      <c r="F124" s="157">
        <f>'Absolute Volume'!F124/'Energy data by fuel cycle'!$G$11</f>
        <v>0</v>
      </c>
      <c r="G124" s="157">
        <f>'Absolute Volume'!G124/'Energy data by fuel cycle'!$G$11</f>
        <v>0</v>
      </c>
      <c r="H124" s="157">
        <f>'Absolute Volume'!H124/'Energy data by fuel cycle'!$G$11</f>
        <v>0</v>
      </c>
      <c r="I124" s="157">
        <f>'Absolute Volume'!I124/'Energy data by fuel cycle'!$G$11</f>
        <v>0</v>
      </c>
      <c r="J124" s="157">
        <f>'Absolute Volume'!J124/'Energy data by fuel cycle'!$G$11</f>
        <v>0</v>
      </c>
      <c r="K124" s="158">
        <f>'Absolute Volume'!K124/'Energy data by fuel cycle'!$G$11</f>
        <v>0</v>
      </c>
      <c r="L124" s="158">
        <f>'Absolute Volume'!L124/'Energy data by fuel cycle'!$G$11</f>
        <v>0</v>
      </c>
      <c r="M124" s="157">
        <f>'Absolute Volume'!M124/'Energy data by fuel cycle'!$G$11</f>
        <v>0</v>
      </c>
      <c r="N124" s="157">
        <f>'Absolute Volume'!N124/'Energy data by fuel cycle'!$G$11</f>
        <v>0</v>
      </c>
      <c r="O124" s="157">
        <f>'Absolute Volume'!O124/'Energy data by fuel cycle'!$G$11</f>
        <v>0</v>
      </c>
      <c r="P124" s="157">
        <f>'Absolute Volume'!P124/'Energy data by fuel cycle'!$G$11</f>
        <v>0</v>
      </c>
      <c r="Q124" s="78">
        <f>'Absolute Volume'!Q124/'Energy data by fuel cycle'!$G$11</f>
        <v>0</v>
      </c>
      <c r="R124" s="132">
        <f>'Absolute Volume'!R124/'Energy data by fuel cycle'!$G$11</f>
        <v>0</v>
      </c>
      <c r="S124" s="159">
        <f>'Absolute Volume'!S124/'Energy data by fuel cycle'!$G$11</f>
        <v>0</v>
      </c>
      <c r="T124" s="77"/>
    </row>
    <row r="125" spans="1:20" s="11" customFormat="1" ht="14" customHeight="1">
      <c r="A125" s="77"/>
      <c r="B125" s="755"/>
      <c r="C125" s="129" t="s">
        <v>8</v>
      </c>
      <c r="D125" s="135" t="s">
        <v>1</v>
      </c>
      <c r="E125" s="476">
        <f>'Absolute Volume'!E125/'Energy data by fuel cycle'!$G$11</f>
        <v>0</v>
      </c>
      <c r="F125" s="157">
        <f>'Absolute Volume'!F125/'Energy data by fuel cycle'!$G$11</f>
        <v>0</v>
      </c>
      <c r="G125" s="157">
        <f>'Absolute Volume'!G125/'Energy data by fuel cycle'!$G$11</f>
        <v>0</v>
      </c>
      <c r="H125" s="157">
        <f>'Absolute Volume'!H125/'Energy data by fuel cycle'!$G$11</f>
        <v>0</v>
      </c>
      <c r="I125" s="157">
        <f>'Absolute Volume'!I125/'Energy data by fuel cycle'!$G$11</f>
        <v>0</v>
      </c>
      <c r="J125" s="157">
        <f>'Absolute Volume'!J125/'Energy data by fuel cycle'!$G$11</f>
        <v>0</v>
      </c>
      <c r="K125" s="158">
        <f>'Absolute Volume'!K125/'Energy data by fuel cycle'!$G$11</f>
        <v>0</v>
      </c>
      <c r="L125" s="158">
        <f>'Absolute Volume'!L125/'Energy data by fuel cycle'!$G$11</f>
        <v>0</v>
      </c>
      <c r="M125" s="157">
        <f>'Absolute Volume'!M125/'Energy data by fuel cycle'!$G$11</f>
        <v>0</v>
      </c>
      <c r="N125" s="157">
        <f>'Absolute Volume'!N125/'Energy data by fuel cycle'!$G$11</f>
        <v>0</v>
      </c>
      <c r="O125" s="157">
        <f>'Absolute Volume'!O125/'Energy data by fuel cycle'!$G$11</f>
        <v>0</v>
      </c>
      <c r="P125" s="157">
        <f>'Absolute Volume'!P125/'Energy data by fuel cycle'!$G$11</f>
        <v>0</v>
      </c>
      <c r="Q125" s="78">
        <f>'Absolute Volume'!Q125/'Energy data by fuel cycle'!$G$11</f>
        <v>0</v>
      </c>
      <c r="R125" s="132">
        <f>'Absolute Volume'!R125/'Energy data by fuel cycle'!$G$11</f>
        <v>0</v>
      </c>
      <c r="S125" s="159">
        <f>'Absolute Volume'!S125/'Energy data by fuel cycle'!$G$11</f>
        <v>0</v>
      </c>
      <c r="T125" s="77"/>
    </row>
    <row r="126" spans="1:20" s="11" customFormat="1" ht="14" customHeight="1">
      <c r="A126" s="77"/>
      <c r="B126" s="755"/>
      <c r="C126" s="136" t="s">
        <v>8</v>
      </c>
      <c r="D126" s="137" t="s">
        <v>13</v>
      </c>
      <c r="E126" s="478">
        <f>'Absolute Volume'!E126/'Energy data by fuel cycle'!$G$11</f>
        <v>0</v>
      </c>
      <c r="F126" s="160">
        <f>'Absolute Volume'!F126/'Energy data by fuel cycle'!$G$11</f>
        <v>0</v>
      </c>
      <c r="G126" s="160">
        <f>'Absolute Volume'!G126/'Energy data by fuel cycle'!$G$11</f>
        <v>0</v>
      </c>
      <c r="H126" s="160">
        <f>'Absolute Volume'!H126/'Energy data by fuel cycle'!$G$11</f>
        <v>0</v>
      </c>
      <c r="I126" s="160">
        <f>'Absolute Volume'!I126/'Energy data by fuel cycle'!$G$11</f>
        <v>0</v>
      </c>
      <c r="J126" s="160">
        <f>'Absolute Volume'!J126/'Energy data by fuel cycle'!$G$11</f>
        <v>0</v>
      </c>
      <c r="K126" s="161">
        <f>'Absolute Volume'!K126/'Energy data by fuel cycle'!$G$11</f>
        <v>0</v>
      </c>
      <c r="L126" s="161">
        <f>'Absolute Volume'!L126/'Energy data by fuel cycle'!$G$11</f>
        <v>0</v>
      </c>
      <c r="M126" s="160">
        <f>'Absolute Volume'!M126/'Energy data by fuel cycle'!$G$11</f>
        <v>0</v>
      </c>
      <c r="N126" s="160">
        <f>'Absolute Volume'!N126/'Energy data by fuel cycle'!$G$11</f>
        <v>0</v>
      </c>
      <c r="O126" s="160">
        <f>'Absolute Volume'!O126/'Energy data by fuel cycle'!$G$11</f>
        <v>0</v>
      </c>
      <c r="P126" s="160">
        <f>'Absolute Volume'!P126/'Energy data by fuel cycle'!$G$11</f>
        <v>0</v>
      </c>
      <c r="Q126" s="139">
        <f>'Absolute Volume'!Q126/'Energy data by fuel cycle'!$G$11</f>
        <v>0</v>
      </c>
      <c r="R126" s="140">
        <f>'Absolute Volume'!R126/'Energy data by fuel cycle'!$G$11</f>
        <v>0</v>
      </c>
      <c r="S126" s="162">
        <f>'Absolute Volume'!S126/'Energy data by fuel cycle'!$G$11</f>
        <v>0</v>
      </c>
      <c r="T126" s="77"/>
    </row>
    <row r="127" spans="1:20" s="11" customFormat="1" ht="14" customHeight="1">
      <c r="A127" s="77"/>
      <c r="B127" s="755"/>
      <c r="C127" s="150" t="s">
        <v>10</v>
      </c>
      <c r="D127" s="143" t="s">
        <v>0</v>
      </c>
      <c r="E127" s="476">
        <f>'Absolute Volume'!E127/'Energy data by fuel cycle'!$G$11</f>
        <v>0</v>
      </c>
      <c r="F127" s="157">
        <f>'Absolute Volume'!F127/'Energy data by fuel cycle'!$G$11</f>
        <v>0</v>
      </c>
      <c r="G127" s="157">
        <f>'Absolute Volume'!G127/'Energy data by fuel cycle'!$G$11</f>
        <v>0</v>
      </c>
      <c r="H127" s="157">
        <f>'Absolute Volume'!H127/'Energy data by fuel cycle'!$G$11</f>
        <v>0</v>
      </c>
      <c r="I127" s="157">
        <f>'Absolute Volume'!I127/'Energy data by fuel cycle'!$G$11</f>
        <v>0</v>
      </c>
      <c r="J127" s="157">
        <f>'Absolute Volume'!J127/'Energy data by fuel cycle'!$G$11</f>
        <v>0</v>
      </c>
      <c r="K127" s="158">
        <f>'Absolute Volume'!K127/'Energy data by fuel cycle'!$G$11</f>
        <v>1.8892720514534022E-4</v>
      </c>
      <c r="L127" s="158">
        <f>'Absolute Volume'!L127/'Energy data by fuel cycle'!$G$11</f>
        <v>2.1679465985787231E-4</v>
      </c>
      <c r="M127" s="157">
        <f>'Absolute Volume'!M127/'Energy data by fuel cycle'!$G$11</f>
        <v>1.4060104253041253E-7</v>
      </c>
      <c r="N127" s="157">
        <f>'Absolute Volume'!N127/'Energy data by fuel cycle'!$G$11</f>
        <v>1.4060104253041253E-7</v>
      </c>
      <c r="O127" s="157">
        <f>'Absolute Volume'!O127/'Energy data by fuel cycle'!$G$11</f>
        <v>0</v>
      </c>
      <c r="P127" s="157">
        <f>'Absolute Volume'!P127/'Energy data by fuel cycle'!$G$11</f>
        <v>0</v>
      </c>
      <c r="Q127" s="78">
        <f>'Absolute Volume'!Q127/'Energy data by fuel cycle'!$G$11</f>
        <v>1.8906780618787065E-4</v>
      </c>
      <c r="R127" s="132">
        <f>'Absolute Volume'!R127/'Energy data by fuel cycle'!$G$11</f>
        <v>2.169352609004027E-4</v>
      </c>
      <c r="S127" s="159">
        <f>'Absolute Volume'!S127/'Energy data by fuel cycle'!$G$11</f>
        <v>0</v>
      </c>
      <c r="T127" s="77"/>
    </row>
    <row r="128" spans="1:20" s="11" customFormat="1" ht="14" customHeight="1">
      <c r="A128" s="77"/>
      <c r="B128" s="755"/>
      <c r="C128" s="150" t="s">
        <v>10</v>
      </c>
      <c r="D128" s="134" t="s">
        <v>7</v>
      </c>
      <c r="E128" s="476">
        <f>'Absolute Volume'!E128/'Energy data by fuel cycle'!$G$11</f>
        <v>0</v>
      </c>
      <c r="F128" s="157">
        <f>'Absolute Volume'!F128/'Energy data by fuel cycle'!$G$11</f>
        <v>0</v>
      </c>
      <c r="G128" s="157">
        <f>'Absolute Volume'!G128/'Energy data by fuel cycle'!$G$11</f>
        <v>0</v>
      </c>
      <c r="H128" s="157">
        <f>'Absolute Volume'!H128/'Energy data by fuel cycle'!$G$11</f>
        <v>0</v>
      </c>
      <c r="I128" s="157">
        <f>'Absolute Volume'!I128/'Energy data by fuel cycle'!$G$11</f>
        <v>0</v>
      </c>
      <c r="J128" s="157">
        <f>'Absolute Volume'!J128/'Energy data by fuel cycle'!$G$11</f>
        <v>0</v>
      </c>
      <c r="K128" s="158">
        <f>'Absolute Volume'!K128/'Energy data by fuel cycle'!$G$11</f>
        <v>0</v>
      </c>
      <c r="L128" s="158">
        <f>'Absolute Volume'!L128/'Energy data by fuel cycle'!$G$11</f>
        <v>0</v>
      </c>
      <c r="M128" s="157">
        <f>'Absolute Volume'!M128/'Energy data by fuel cycle'!$G$11</f>
        <v>0</v>
      </c>
      <c r="N128" s="157">
        <f>'Absolute Volume'!N128/'Energy data by fuel cycle'!$G$11</f>
        <v>0</v>
      </c>
      <c r="O128" s="157">
        <f>'Absolute Volume'!O128/'Energy data by fuel cycle'!$G$11</f>
        <v>0</v>
      </c>
      <c r="P128" s="157">
        <f>'Absolute Volume'!P128/'Energy data by fuel cycle'!$G$11</f>
        <v>0</v>
      </c>
      <c r="Q128" s="78">
        <f>'Absolute Volume'!Q128/'Energy data by fuel cycle'!$G$11</f>
        <v>0</v>
      </c>
      <c r="R128" s="132">
        <f>'Absolute Volume'!R128/'Energy data by fuel cycle'!$G$11</f>
        <v>0</v>
      </c>
      <c r="S128" s="159">
        <f>'Absolute Volume'!S128/'Energy data by fuel cycle'!$G$11</f>
        <v>0</v>
      </c>
      <c r="T128" s="77"/>
    </row>
    <row r="129" spans="1:20" s="11" customFormat="1" ht="14" customHeight="1">
      <c r="A129" s="77"/>
      <c r="B129" s="755"/>
      <c r="C129" s="150" t="s">
        <v>10</v>
      </c>
      <c r="D129" s="135" t="s">
        <v>1</v>
      </c>
      <c r="E129" s="476">
        <f>'Absolute Volume'!E129/'Energy data by fuel cycle'!$G$11</f>
        <v>0</v>
      </c>
      <c r="F129" s="157">
        <f>'Absolute Volume'!F129/'Energy data by fuel cycle'!$G$11</f>
        <v>0</v>
      </c>
      <c r="G129" s="157">
        <f>'Absolute Volume'!G129/'Energy data by fuel cycle'!$G$11</f>
        <v>0</v>
      </c>
      <c r="H129" s="157">
        <f>'Absolute Volume'!H129/'Energy data by fuel cycle'!$G$11</f>
        <v>0</v>
      </c>
      <c r="I129" s="157">
        <f>'Absolute Volume'!I129/'Energy data by fuel cycle'!$G$11</f>
        <v>0</v>
      </c>
      <c r="J129" s="157">
        <f>'Absolute Volume'!J129/'Energy data by fuel cycle'!$G$11</f>
        <v>0</v>
      </c>
      <c r="K129" s="158">
        <f>'Absolute Volume'!K129/'Energy data by fuel cycle'!$G$11</f>
        <v>7.0719655606808407E-6</v>
      </c>
      <c r="L129" s="158">
        <f>'Absolute Volume'!L129/'Energy data by fuel cycle'!$G$11</f>
        <v>1.6896248450239235E-7</v>
      </c>
      <c r="M129" s="157">
        <f>'Absolute Volume'!M129/'Energy data by fuel cycle'!$G$11</f>
        <v>0</v>
      </c>
      <c r="N129" s="157">
        <f>'Absolute Volume'!N129/'Energy data by fuel cycle'!$G$11</f>
        <v>0</v>
      </c>
      <c r="O129" s="157">
        <f>'Absolute Volume'!O129/'Energy data by fuel cycle'!$G$11</f>
        <v>0</v>
      </c>
      <c r="P129" s="157">
        <f>'Absolute Volume'!P129/'Energy data by fuel cycle'!$G$11</f>
        <v>0</v>
      </c>
      <c r="Q129" s="78">
        <f>'Absolute Volume'!Q129/'Energy data by fuel cycle'!$G$11</f>
        <v>7.0719655606808407E-6</v>
      </c>
      <c r="R129" s="132">
        <f>'Absolute Volume'!R129/'Energy data by fuel cycle'!$G$11</f>
        <v>1.6896248450239235E-7</v>
      </c>
      <c r="S129" s="159">
        <f>'Absolute Volume'!S129/'Energy data by fuel cycle'!$G$11</f>
        <v>0</v>
      </c>
      <c r="T129" s="77"/>
    </row>
    <row r="130" spans="1:20" s="11" customFormat="1" ht="14" customHeight="1" thickBot="1">
      <c r="A130" s="77"/>
      <c r="B130" s="755"/>
      <c r="C130" s="150" t="s">
        <v>10</v>
      </c>
      <c r="D130" s="166" t="s">
        <v>13</v>
      </c>
      <c r="E130" s="476">
        <f>'Absolute Volume'!E130/'Energy data by fuel cycle'!$G$11</f>
        <v>0</v>
      </c>
      <c r="F130" s="157">
        <f>'Absolute Volume'!F130/'Energy data by fuel cycle'!$G$11</f>
        <v>0</v>
      </c>
      <c r="G130" s="157">
        <f>'Absolute Volume'!G130/'Energy data by fuel cycle'!$G$11</f>
        <v>0</v>
      </c>
      <c r="H130" s="157">
        <f>'Absolute Volume'!H130/'Energy data by fuel cycle'!$G$11</f>
        <v>0</v>
      </c>
      <c r="I130" s="157">
        <f>'Absolute Volume'!I130/'Energy data by fuel cycle'!$G$11</f>
        <v>0</v>
      </c>
      <c r="J130" s="157">
        <f>'Absolute Volume'!J130/'Energy data by fuel cycle'!$G$11</f>
        <v>0</v>
      </c>
      <c r="K130" s="158">
        <f>'Absolute Volume'!K130/'Energy data by fuel cycle'!$G$11</f>
        <v>0</v>
      </c>
      <c r="L130" s="158">
        <f>'Absolute Volume'!L130/'Energy data by fuel cycle'!$G$11</f>
        <v>0</v>
      </c>
      <c r="M130" s="157">
        <f>'Absolute Volume'!M130/'Energy data by fuel cycle'!$G$11</f>
        <v>0</v>
      </c>
      <c r="N130" s="157">
        <f>'Absolute Volume'!N130/'Energy data by fuel cycle'!$G$11</f>
        <v>0</v>
      </c>
      <c r="O130" s="157">
        <f>'Absolute Volume'!O130/'Energy data by fuel cycle'!$G$11</f>
        <v>0</v>
      </c>
      <c r="P130" s="157">
        <f>'Absolute Volume'!P130/'Energy data by fuel cycle'!$G$11</f>
        <v>0</v>
      </c>
      <c r="Q130" s="78">
        <f>'Absolute Volume'!Q130/'Energy data by fuel cycle'!$G$11</f>
        <v>0</v>
      </c>
      <c r="R130" s="132">
        <f>'Absolute Volume'!R130/'Energy data by fuel cycle'!$G$11</f>
        <v>0</v>
      </c>
      <c r="S130" s="159">
        <f>'Absolute Volume'!S130/'Energy data by fuel cycle'!$G$11</f>
        <v>0</v>
      </c>
      <c r="T130" s="77"/>
    </row>
    <row r="131" spans="1:20" s="11" customFormat="1" ht="30" customHeight="1" thickBot="1">
      <c r="A131" s="77"/>
      <c r="B131" s="790" t="s">
        <v>27</v>
      </c>
      <c r="C131" s="791"/>
      <c r="D131" s="791"/>
      <c r="E131" s="791"/>
      <c r="F131" s="791"/>
      <c r="G131" s="791"/>
      <c r="H131" s="791"/>
      <c r="I131" s="791"/>
      <c r="J131" s="791"/>
      <c r="K131" s="791"/>
      <c r="L131" s="791"/>
      <c r="M131" s="791"/>
      <c r="N131" s="791"/>
      <c r="O131" s="791"/>
      <c r="P131" s="791"/>
      <c r="Q131" s="791"/>
      <c r="R131" s="791"/>
      <c r="S131" s="792"/>
      <c r="T131" s="77"/>
    </row>
    <row r="132" spans="1:20" s="11" customFormat="1" ht="14" customHeight="1">
      <c r="A132" s="77"/>
      <c r="B132" s="755" t="s">
        <v>856</v>
      </c>
      <c r="C132" s="120"/>
      <c r="D132" s="156"/>
      <c r="E132" s="759" t="s">
        <v>591</v>
      </c>
      <c r="F132" s="760"/>
      <c r="G132" s="756" t="s">
        <v>66</v>
      </c>
      <c r="H132" s="756"/>
      <c r="I132" s="742" t="s">
        <v>67</v>
      </c>
      <c r="J132" s="742"/>
      <c r="K132" s="743" t="s">
        <v>68</v>
      </c>
      <c r="L132" s="743"/>
      <c r="M132" s="744" t="s">
        <v>69</v>
      </c>
      <c r="N132" s="744"/>
      <c r="O132" s="745" t="s">
        <v>413</v>
      </c>
      <c r="P132" s="745"/>
      <c r="Q132" s="121" t="s">
        <v>763</v>
      </c>
      <c r="R132" s="122" t="s">
        <v>763</v>
      </c>
      <c r="S132" s="123" t="s">
        <v>763</v>
      </c>
      <c r="T132" s="77"/>
    </row>
    <row r="133" spans="1:20" s="11" customFormat="1" ht="14" customHeight="1">
      <c r="A133" s="77"/>
      <c r="B133" s="755"/>
      <c r="C133" s="120"/>
      <c r="D133" s="156"/>
      <c r="E133" s="469" t="s">
        <v>209</v>
      </c>
      <c r="F133" s="414" t="s">
        <v>208</v>
      </c>
      <c r="G133" s="414" t="s">
        <v>209</v>
      </c>
      <c r="H133" s="414" t="s">
        <v>208</v>
      </c>
      <c r="I133" s="414" t="s">
        <v>209</v>
      </c>
      <c r="J133" s="414" t="s">
        <v>208</v>
      </c>
      <c r="K133" s="414" t="s">
        <v>209</v>
      </c>
      <c r="L133" s="414" t="s">
        <v>208</v>
      </c>
      <c r="M133" s="414" t="s">
        <v>209</v>
      </c>
      <c r="N133" s="414" t="s">
        <v>208</v>
      </c>
      <c r="O133" s="414" t="s">
        <v>209</v>
      </c>
      <c r="P133" s="414" t="s">
        <v>208</v>
      </c>
      <c r="Q133" s="121" t="s">
        <v>209</v>
      </c>
      <c r="R133" s="468" t="s">
        <v>208</v>
      </c>
      <c r="S133" s="123" t="s">
        <v>413</v>
      </c>
      <c r="T133" s="77"/>
    </row>
    <row r="134" spans="1:20" s="11" customFormat="1" ht="28" customHeight="1">
      <c r="A134" s="77"/>
      <c r="B134" s="755"/>
      <c r="C134" s="124" t="s">
        <v>761</v>
      </c>
      <c r="D134" s="125" t="s">
        <v>762</v>
      </c>
      <c r="E134" s="126">
        <f t="shared" ref="E134:S134" si="8">SUM(E135:E146)</f>
        <v>1.0348458528003807E-2</v>
      </c>
      <c r="F134" s="126">
        <f t="shared" si="8"/>
        <v>1.0348458528003807E-2</v>
      </c>
      <c r="G134" s="126">
        <f t="shared" si="8"/>
        <v>2.6972279601627765E-3</v>
      </c>
      <c r="H134" s="126">
        <f t="shared" si="8"/>
        <v>3.746855553769384E-3</v>
      </c>
      <c r="I134" s="126">
        <f t="shared" si="8"/>
        <v>4.9376342372820722E-3</v>
      </c>
      <c r="J134" s="126">
        <f t="shared" si="8"/>
        <v>5.0655896655064248E-3</v>
      </c>
      <c r="K134" s="126">
        <f t="shared" si="8"/>
        <v>4.1498011656898717E-2</v>
      </c>
      <c r="L134" s="126">
        <f t="shared" si="8"/>
        <v>0.78203718261153887</v>
      </c>
      <c r="M134" s="126">
        <f t="shared" si="8"/>
        <v>0</v>
      </c>
      <c r="N134" s="126">
        <f t="shared" si="8"/>
        <v>0</v>
      </c>
      <c r="O134" s="126">
        <f t="shared" si="8"/>
        <v>-4.7335964201313016E-2</v>
      </c>
      <c r="P134" s="126">
        <f t="shared" si="8"/>
        <v>-4.7335964201313016E-2</v>
      </c>
      <c r="Q134" s="79">
        <f t="shared" si="8"/>
        <v>5.9481332382347381E-2</v>
      </c>
      <c r="R134" s="127">
        <f t="shared" si="8"/>
        <v>0.80119808635881851</v>
      </c>
      <c r="S134" s="128">
        <f t="shared" si="8"/>
        <v>-4.7335964201313016E-2</v>
      </c>
      <c r="T134" s="77"/>
    </row>
    <row r="135" spans="1:20" s="11" customFormat="1" ht="14" customHeight="1">
      <c r="A135" s="77"/>
      <c r="B135" s="755"/>
      <c r="C135" s="142" t="s">
        <v>9</v>
      </c>
      <c r="D135" s="143" t="s">
        <v>0</v>
      </c>
      <c r="E135" s="475">
        <f>'Absolute Volume'!E135/'Energy data by fuel cycle'!$G$12</f>
        <v>6.0403923399026066E-4</v>
      </c>
      <c r="F135" s="157">
        <f>'Absolute Volume'!F135/'Energy data by fuel cycle'!$G$12</f>
        <v>6.0403923399026066E-4</v>
      </c>
      <c r="G135" s="157">
        <f>'Absolute Volume'!G135/'Energy data by fuel cycle'!$G$12</f>
        <v>8.5639220693524431E-4</v>
      </c>
      <c r="H135" s="157">
        <f>'Absolute Volume'!H135/'Energy data by fuel cycle'!$G$12</f>
        <v>1.2739113327209807E-3</v>
      </c>
      <c r="I135" s="157">
        <f>'Absolute Volume'!I135/'Energy data by fuel cycle'!$G$12</f>
        <v>9.8746040840059753E-4</v>
      </c>
      <c r="J135" s="157">
        <f>'Absolute Volume'!J135/'Energy data by fuel cycle'!$G$12</f>
        <v>1.0386061398734775E-3</v>
      </c>
      <c r="K135" s="158">
        <f>'Absolute Volume'!K135/'Energy data by fuel cycle'!$G$12</f>
        <v>1.1656152696984421E-2</v>
      </c>
      <c r="L135" s="158">
        <f>'Absolute Volume'!L135/'Energy data by fuel cycle'!$G$12</f>
        <v>1.4792697894258902E-2</v>
      </c>
      <c r="M135" s="157">
        <f>'Absolute Volume'!M135/'Energy data by fuel cycle'!$G$12</f>
        <v>0</v>
      </c>
      <c r="N135" s="157">
        <f>'Absolute Volume'!N135/'Energy data by fuel cycle'!$G$12</f>
        <v>0</v>
      </c>
      <c r="O135" s="157">
        <f>'Absolute Volume'!O135/'Energy data by fuel cycle'!$G$12</f>
        <v>0</v>
      </c>
      <c r="P135" s="157">
        <f>'Absolute Volume'!P135/'Energy data by fuel cycle'!$G$12</f>
        <v>0</v>
      </c>
      <c r="Q135" s="78">
        <f>'Absolute Volume'!Q135/'Energy data by fuel cycle'!$G$12</f>
        <v>1.4104044546310522E-2</v>
      </c>
      <c r="R135" s="132">
        <f>'Absolute Volume'!R135/'Energy data by fuel cycle'!$G$12</f>
        <v>1.7709254600843619E-2</v>
      </c>
      <c r="S135" s="159">
        <f>'Absolute Volume'!S135/'Energy data by fuel cycle'!$G$12</f>
        <v>0</v>
      </c>
      <c r="T135" s="77"/>
    </row>
    <row r="136" spans="1:20" s="11" customFormat="1" ht="14" customHeight="1">
      <c r="A136" s="77"/>
      <c r="B136" s="755"/>
      <c r="C136" s="142" t="s">
        <v>9</v>
      </c>
      <c r="D136" s="134" t="s">
        <v>7</v>
      </c>
      <c r="E136" s="476">
        <f>'Absolute Volume'!E136/'Energy data by fuel cycle'!$G$12</f>
        <v>0</v>
      </c>
      <c r="F136" s="157">
        <f>'Absolute Volume'!F136/'Energy data by fuel cycle'!$G$12</f>
        <v>0</v>
      </c>
      <c r="G136" s="157">
        <f>'Absolute Volume'!G136/'Energy data by fuel cycle'!$G$12</f>
        <v>0</v>
      </c>
      <c r="H136" s="157">
        <f>'Absolute Volume'!H136/'Energy data by fuel cycle'!$G$12</f>
        <v>0</v>
      </c>
      <c r="I136" s="157">
        <f>'Absolute Volume'!I136/'Energy data by fuel cycle'!$G$12</f>
        <v>0</v>
      </c>
      <c r="J136" s="157">
        <f>'Absolute Volume'!J136/'Energy data by fuel cycle'!$G$12</f>
        <v>0</v>
      </c>
      <c r="K136" s="158">
        <f>'Absolute Volume'!K136/'Energy data by fuel cycle'!$G$12</f>
        <v>3.1545004815898077E-5</v>
      </c>
      <c r="L136" s="158">
        <f>'Absolute Volume'!L136/'Energy data by fuel cycle'!$G$12</f>
        <v>3.8805682152611875E-5</v>
      </c>
      <c r="M136" s="157">
        <f>'Absolute Volume'!M136/'Energy data by fuel cycle'!$G$12</f>
        <v>0</v>
      </c>
      <c r="N136" s="157">
        <f>'Absolute Volume'!N136/'Energy data by fuel cycle'!$G$12</f>
        <v>0</v>
      </c>
      <c r="O136" s="157">
        <f>'Absolute Volume'!O136/'Energy data by fuel cycle'!$G$12</f>
        <v>0</v>
      </c>
      <c r="P136" s="157">
        <f>'Absolute Volume'!P136/'Energy data by fuel cycle'!$G$12</f>
        <v>0</v>
      </c>
      <c r="Q136" s="78">
        <f>'Absolute Volume'!Q136/'Energy data by fuel cycle'!$G$12</f>
        <v>3.1545004815898077E-5</v>
      </c>
      <c r="R136" s="132">
        <f>'Absolute Volume'!R136/'Energy data by fuel cycle'!$G$12</f>
        <v>3.8805682152611875E-5</v>
      </c>
      <c r="S136" s="159">
        <f>'Absolute Volume'!S136/'Energy data by fuel cycle'!$G$12</f>
        <v>0</v>
      </c>
      <c r="T136" s="77"/>
    </row>
    <row r="137" spans="1:20" s="11" customFormat="1" ht="14" customHeight="1">
      <c r="A137" s="77"/>
      <c r="B137" s="755"/>
      <c r="C137" s="142" t="s">
        <v>9</v>
      </c>
      <c r="D137" s="135" t="s">
        <v>1</v>
      </c>
      <c r="E137" s="476">
        <f>'Absolute Volume'!E137/'Energy data by fuel cycle'!$G$12</f>
        <v>0</v>
      </c>
      <c r="F137" s="157">
        <f>'Absolute Volume'!F137/'Energy data by fuel cycle'!$G$12</f>
        <v>0</v>
      </c>
      <c r="G137" s="157">
        <f>'Absolute Volume'!G137/'Energy data by fuel cycle'!$G$12</f>
        <v>0</v>
      </c>
      <c r="H137" s="157">
        <f>'Absolute Volume'!H137/'Energy data by fuel cycle'!$G$12</f>
        <v>0</v>
      </c>
      <c r="I137" s="157">
        <f>'Absolute Volume'!I137/'Energy data by fuel cycle'!$G$12</f>
        <v>0</v>
      </c>
      <c r="J137" s="157">
        <f>'Absolute Volume'!J137/'Energy data by fuel cycle'!$G$12</f>
        <v>0</v>
      </c>
      <c r="K137" s="158">
        <f>'Absolute Volume'!K137/'Energy data by fuel cycle'!$G$12</f>
        <v>7.1449875543781613E-5</v>
      </c>
      <c r="L137" s="158">
        <f>'Absolute Volume'!L137/'Energy data by fuel cycle'!$G$12</f>
        <v>8.8194950890620492E-5</v>
      </c>
      <c r="M137" s="157">
        <f>'Absolute Volume'!M137/'Energy data by fuel cycle'!$G$12</f>
        <v>0</v>
      </c>
      <c r="N137" s="157">
        <f>'Absolute Volume'!N137/'Energy data by fuel cycle'!$G$12</f>
        <v>0</v>
      </c>
      <c r="O137" s="157">
        <f>'Absolute Volume'!O137/'Energy data by fuel cycle'!$G$12</f>
        <v>0</v>
      </c>
      <c r="P137" s="157">
        <f>'Absolute Volume'!P137/'Energy data by fuel cycle'!$G$12</f>
        <v>0</v>
      </c>
      <c r="Q137" s="78">
        <f>'Absolute Volume'!Q137/'Energy data by fuel cycle'!$G$12</f>
        <v>7.1449875543781613E-5</v>
      </c>
      <c r="R137" s="132">
        <f>'Absolute Volume'!R137/'Energy data by fuel cycle'!$G$12</f>
        <v>8.8194950890620492E-5</v>
      </c>
      <c r="S137" s="159">
        <f>'Absolute Volume'!S137/'Energy data by fuel cycle'!$G$12</f>
        <v>0</v>
      </c>
      <c r="T137" s="77"/>
    </row>
    <row r="138" spans="1:20" s="11" customFormat="1" ht="14" customHeight="1">
      <c r="A138" s="77"/>
      <c r="B138" s="755"/>
      <c r="C138" s="144" t="s">
        <v>9</v>
      </c>
      <c r="D138" s="145" t="s">
        <v>13</v>
      </c>
      <c r="E138" s="477">
        <f>'Absolute Volume'!E138/'Energy data by fuel cycle'!$G$12</f>
        <v>9.3320617514643968E-3</v>
      </c>
      <c r="F138" s="163">
        <f>'Absolute Volume'!F138/'Energy data by fuel cycle'!$G$12</f>
        <v>9.4191673987880226E-3</v>
      </c>
      <c r="G138" s="163">
        <f>'Absolute Volume'!G138/'Energy data by fuel cycle'!$G$12</f>
        <v>5.4555386842138585E-4</v>
      </c>
      <c r="H138" s="163">
        <f>'Absolute Volume'!H138/'Energy data by fuel cycle'!$G$12</f>
        <v>5.4555386842138585E-4</v>
      </c>
      <c r="I138" s="163">
        <f>'Absolute Volume'!I138/'Energy data by fuel cycle'!$G$12</f>
        <v>0</v>
      </c>
      <c r="J138" s="163">
        <f>'Absolute Volume'!J138/'Energy data by fuel cycle'!$G$12</f>
        <v>0</v>
      </c>
      <c r="K138" s="164">
        <f>'Absolute Volume'!K138/'Energy data by fuel cycle'!$G$12</f>
        <v>0</v>
      </c>
      <c r="L138" s="164">
        <f>'Absolute Volume'!L138/'Energy data by fuel cycle'!$G$12</f>
        <v>0</v>
      </c>
      <c r="M138" s="163">
        <f>'Absolute Volume'!M138/'Energy data by fuel cycle'!$G$12</f>
        <v>0</v>
      </c>
      <c r="N138" s="163">
        <f>'Absolute Volume'!N138/'Energy data by fuel cycle'!$G$12</f>
        <v>0</v>
      </c>
      <c r="O138" s="163">
        <f>'Absolute Volume'!O138/'Energy data by fuel cycle'!$G$12</f>
        <v>0</v>
      </c>
      <c r="P138" s="163">
        <f>'Absolute Volume'!P138/'Energy data by fuel cycle'!$G$12</f>
        <v>0</v>
      </c>
      <c r="Q138" s="147">
        <f>'Absolute Volume'!Q138/'Energy data by fuel cycle'!$G$12</f>
        <v>9.8776156198857826E-3</v>
      </c>
      <c r="R138" s="148">
        <f>'Absolute Volume'!R138/'Energy data by fuel cycle'!$G$12</f>
        <v>9.9647212672094084E-3</v>
      </c>
      <c r="S138" s="165">
        <f>'Absolute Volume'!S138/'Energy data by fuel cycle'!$G$12</f>
        <v>0</v>
      </c>
      <c r="T138" s="77"/>
    </row>
    <row r="139" spans="1:20" s="11" customFormat="1" ht="14" customHeight="1">
      <c r="A139" s="77"/>
      <c r="B139" s="755"/>
      <c r="C139" s="129" t="s">
        <v>8</v>
      </c>
      <c r="D139" s="130" t="s">
        <v>0</v>
      </c>
      <c r="E139" s="476">
        <f>'Absolute Volume'!E139/'Energy data by fuel cycle'!$G$12</f>
        <v>3.2525189522552498E-4</v>
      </c>
      <c r="F139" s="157">
        <f>'Absolute Volume'!F139/'Energy data by fuel cycle'!$G$12</f>
        <v>3.2525189522552498E-4</v>
      </c>
      <c r="G139" s="157">
        <f>'Absolute Volume'!G139/'Energy data by fuel cycle'!$G$12</f>
        <v>1.2952818848061462E-3</v>
      </c>
      <c r="H139" s="157">
        <f>'Absolute Volume'!H139/'Energy data by fuel cycle'!$G$12</f>
        <v>1.9273903526270176E-3</v>
      </c>
      <c r="I139" s="157">
        <f>'Absolute Volume'!I139/'Energy data by fuel cycle'!$G$12</f>
        <v>3.9498416336023901E-3</v>
      </c>
      <c r="J139" s="157">
        <f>'Absolute Volume'!J139/'Energy data by fuel cycle'!$G$12</f>
        <v>4.0265602308117102E-3</v>
      </c>
      <c r="K139" s="158">
        <f>'Absolute Volume'!K139/'Energy data by fuel cycle'!$G$12</f>
        <v>2.1246468615818803E-2</v>
      </c>
      <c r="L139" s="158">
        <f>'Absolute Volume'!L139/'Energy data by fuel cycle'!$G$12</f>
        <v>0.36578429892581493</v>
      </c>
      <c r="M139" s="157">
        <f>'Absolute Volume'!M139/'Energy data by fuel cycle'!$G$12</f>
        <v>0</v>
      </c>
      <c r="N139" s="157">
        <f>'Absolute Volume'!N139/'Energy data by fuel cycle'!$G$12</f>
        <v>0</v>
      </c>
      <c r="O139" s="157">
        <f>'Absolute Volume'!O139/'Energy data by fuel cycle'!$G$12</f>
        <v>-4.7335964201313016E-2</v>
      </c>
      <c r="P139" s="157">
        <f>'Absolute Volume'!P139/'Energy data by fuel cycle'!$G$12</f>
        <v>-4.7335964201313016E-2</v>
      </c>
      <c r="Q139" s="78">
        <f>'Absolute Volume'!Q139/'Energy data by fuel cycle'!$G$12</f>
        <v>2.6816844029452867E-2</v>
      </c>
      <c r="R139" s="132">
        <f>'Absolute Volume'!R139/'Energy data by fuel cycle'!$G$12</f>
        <v>0.37206350140447919</v>
      </c>
      <c r="S139" s="159">
        <f>'Absolute Volume'!S139/'Energy data by fuel cycle'!$G$12</f>
        <v>-4.7335964201313016E-2</v>
      </c>
      <c r="T139" s="77"/>
    </row>
    <row r="140" spans="1:20" s="11" customFormat="1" ht="14" customHeight="1">
      <c r="A140" s="77"/>
      <c r="B140" s="755"/>
      <c r="C140" s="129" t="s">
        <v>8</v>
      </c>
      <c r="D140" s="134" t="s">
        <v>7</v>
      </c>
      <c r="E140" s="476">
        <f>'Absolute Volume'!E140/'Energy data by fuel cycle'!$G$12</f>
        <v>0</v>
      </c>
      <c r="F140" s="157">
        <f>'Absolute Volume'!F140/'Energy data by fuel cycle'!$G$12</f>
        <v>0</v>
      </c>
      <c r="G140" s="157">
        <f>'Absolute Volume'!G140/'Energy data by fuel cycle'!$G$12</f>
        <v>0</v>
      </c>
      <c r="H140" s="157">
        <f>'Absolute Volume'!H140/'Energy data by fuel cycle'!$G$12</f>
        <v>0</v>
      </c>
      <c r="I140" s="157">
        <f>'Absolute Volume'!I140/'Energy data by fuel cycle'!$G$12</f>
        <v>0</v>
      </c>
      <c r="J140" s="157">
        <f>'Absolute Volume'!J140/'Energy data by fuel cycle'!$G$12</f>
        <v>0</v>
      </c>
      <c r="K140" s="158">
        <f>'Absolute Volume'!K140/'Energy data by fuel cycle'!$G$12</f>
        <v>1.7268400687079884E-3</v>
      </c>
      <c r="L140" s="158">
        <f>'Absolute Volume'!L140/'Energy data by fuel cycle'!$G$12</f>
        <v>0.17866679985299411</v>
      </c>
      <c r="M140" s="157">
        <f>'Absolute Volume'!M140/'Energy data by fuel cycle'!$G$12</f>
        <v>0</v>
      </c>
      <c r="N140" s="157">
        <f>'Absolute Volume'!N140/'Energy data by fuel cycle'!$G$12</f>
        <v>0</v>
      </c>
      <c r="O140" s="157">
        <f>'Absolute Volume'!O140/'Energy data by fuel cycle'!$G$12</f>
        <v>0</v>
      </c>
      <c r="P140" s="157">
        <f>'Absolute Volume'!P140/'Energy data by fuel cycle'!$G$12</f>
        <v>0</v>
      </c>
      <c r="Q140" s="78">
        <f>'Absolute Volume'!Q140/'Energy data by fuel cycle'!$G$12</f>
        <v>1.7268400687079884E-3</v>
      </c>
      <c r="R140" s="132">
        <f>'Absolute Volume'!R140/'Energy data by fuel cycle'!$G$12</f>
        <v>0.17866679985299411</v>
      </c>
      <c r="S140" s="159">
        <f>'Absolute Volume'!S140/'Energy data by fuel cycle'!$G$12</f>
        <v>0</v>
      </c>
      <c r="T140" s="77"/>
    </row>
    <row r="141" spans="1:20" s="11" customFormat="1" ht="14" customHeight="1">
      <c r="A141" s="77"/>
      <c r="B141" s="755"/>
      <c r="C141" s="129" t="s">
        <v>8</v>
      </c>
      <c r="D141" s="135" t="s">
        <v>1</v>
      </c>
      <c r="E141" s="476">
        <f>'Absolute Volume'!E141/'Energy data by fuel cycle'!$G$12</f>
        <v>0</v>
      </c>
      <c r="F141" s="157">
        <f>'Absolute Volume'!F141/'Energy data by fuel cycle'!$G$12</f>
        <v>0</v>
      </c>
      <c r="G141" s="157">
        <f>'Absolute Volume'!G141/'Energy data by fuel cycle'!$G$12</f>
        <v>0</v>
      </c>
      <c r="H141" s="157">
        <f>'Absolute Volume'!H141/'Energy data by fuel cycle'!$G$12</f>
        <v>0</v>
      </c>
      <c r="I141" s="157">
        <f>'Absolute Volume'!I141/'Energy data by fuel cycle'!$G$12</f>
        <v>3.3219527908486762E-7</v>
      </c>
      <c r="J141" s="157">
        <f>'Absolute Volume'!J141/'Energy data by fuel cycle'!$G$12</f>
        <v>4.2329482123698356E-7</v>
      </c>
      <c r="K141" s="158">
        <f>'Absolute Volume'!K141/'Energy data by fuel cycle'!$G$12</f>
        <v>1.5574645697910381E-3</v>
      </c>
      <c r="L141" s="158">
        <f>'Absolute Volume'!L141/'Energy data by fuel cycle'!$G$12</f>
        <v>0.2095044790862772</v>
      </c>
      <c r="M141" s="157">
        <f>'Absolute Volume'!M141/'Energy data by fuel cycle'!$G$12</f>
        <v>0</v>
      </c>
      <c r="N141" s="157">
        <f>'Absolute Volume'!N141/'Energy data by fuel cycle'!$G$12</f>
        <v>0</v>
      </c>
      <c r="O141" s="157">
        <f>'Absolute Volume'!O141/'Energy data by fuel cycle'!$G$12</f>
        <v>0</v>
      </c>
      <c r="P141" s="157">
        <f>'Absolute Volume'!P141/'Energy data by fuel cycle'!$G$12</f>
        <v>0</v>
      </c>
      <c r="Q141" s="78">
        <f>'Absolute Volume'!Q141/'Energy data by fuel cycle'!$G$12</f>
        <v>1.5577967650701229E-3</v>
      </c>
      <c r="R141" s="132">
        <f>'Absolute Volume'!R141/'Energy data by fuel cycle'!$G$12</f>
        <v>0.20950490238109842</v>
      </c>
      <c r="S141" s="159">
        <f>'Absolute Volume'!S141/'Energy data by fuel cycle'!$G$12</f>
        <v>0</v>
      </c>
      <c r="T141" s="77"/>
    </row>
    <row r="142" spans="1:20" s="11" customFormat="1" ht="14" customHeight="1">
      <c r="A142" s="77"/>
      <c r="B142" s="755"/>
      <c r="C142" s="136" t="s">
        <v>8</v>
      </c>
      <c r="D142" s="137" t="s">
        <v>13</v>
      </c>
      <c r="E142" s="478">
        <f>'Absolute Volume'!E142/'Energy data by fuel cycle'!$G$12</f>
        <v>0</v>
      </c>
      <c r="F142" s="160">
        <f>'Absolute Volume'!F142/'Energy data by fuel cycle'!$G$12</f>
        <v>0</v>
      </c>
      <c r="G142" s="160">
        <f>'Absolute Volume'!G142/'Energy data by fuel cycle'!$G$12</f>
        <v>0</v>
      </c>
      <c r="H142" s="160">
        <f>'Absolute Volume'!H142/'Energy data by fuel cycle'!$G$12</f>
        <v>0</v>
      </c>
      <c r="I142" s="160">
        <f>'Absolute Volume'!I142/'Energy data by fuel cycle'!$G$12</f>
        <v>0</v>
      </c>
      <c r="J142" s="160">
        <f>'Absolute Volume'!J142/'Energy data by fuel cycle'!$G$12</f>
        <v>0</v>
      </c>
      <c r="K142" s="161">
        <f>'Absolute Volume'!K142/'Energy data by fuel cycle'!$G$12</f>
        <v>0</v>
      </c>
      <c r="L142" s="161">
        <f>'Absolute Volume'!L142/'Energy data by fuel cycle'!$G$12</f>
        <v>0</v>
      </c>
      <c r="M142" s="160">
        <f>'Absolute Volume'!M142/'Energy data by fuel cycle'!$G$12</f>
        <v>0</v>
      </c>
      <c r="N142" s="160">
        <f>'Absolute Volume'!N142/'Energy data by fuel cycle'!$G$12</f>
        <v>0</v>
      </c>
      <c r="O142" s="160">
        <f>'Absolute Volume'!O142/'Energy data by fuel cycle'!$G$12</f>
        <v>0</v>
      </c>
      <c r="P142" s="160">
        <f>'Absolute Volume'!P142/'Energy data by fuel cycle'!$G$12</f>
        <v>0</v>
      </c>
      <c r="Q142" s="139">
        <f>'Absolute Volume'!Q142/'Energy data by fuel cycle'!$G$12</f>
        <v>0</v>
      </c>
      <c r="R142" s="140">
        <f>'Absolute Volume'!R142/'Energy data by fuel cycle'!$G$12</f>
        <v>0</v>
      </c>
      <c r="S142" s="162">
        <f>'Absolute Volume'!S142/'Energy data by fuel cycle'!$G$12</f>
        <v>0</v>
      </c>
      <c r="T142" s="77"/>
    </row>
    <row r="143" spans="1:20" s="11" customFormat="1" ht="14" customHeight="1">
      <c r="A143" s="77"/>
      <c r="B143" s="755"/>
      <c r="C143" s="150" t="s">
        <v>10</v>
      </c>
      <c r="D143" s="143" t="s">
        <v>0</v>
      </c>
      <c r="E143" s="476">
        <f>'Absolute Volume'!E143/'Energy data by fuel cycle'!$G$12</f>
        <v>0</v>
      </c>
      <c r="F143" s="157">
        <f>'Absolute Volume'!F143/'Energy data by fuel cycle'!$G$12</f>
        <v>0</v>
      </c>
      <c r="G143" s="157">
        <f>'Absolute Volume'!G143/'Energy data by fuel cycle'!$G$12</f>
        <v>0</v>
      </c>
      <c r="H143" s="157">
        <f>'Absolute Volume'!H143/'Energy data by fuel cycle'!$G$12</f>
        <v>0</v>
      </c>
      <c r="I143" s="157">
        <f>'Absolute Volume'!I143/'Energy data by fuel cycle'!$G$12</f>
        <v>0</v>
      </c>
      <c r="J143" s="157">
        <f>'Absolute Volume'!J143/'Energy data by fuel cycle'!$G$12</f>
        <v>0</v>
      </c>
      <c r="K143" s="158">
        <f>'Absolute Volume'!K143/'Energy data by fuel cycle'!$G$12</f>
        <v>4.7308162101221867E-3</v>
      </c>
      <c r="L143" s="158">
        <f>'Absolute Volume'!L143/'Energy data by fuel cycle'!$G$12</f>
        <v>6.9581204552324324E-3</v>
      </c>
      <c r="M143" s="157">
        <f>'Absolute Volume'!M143/'Energy data by fuel cycle'!$G$12</f>
        <v>0</v>
      </c>
      <c r="N143" s="157">
        <f>'Absolute Volume'!N143/'Energy data by fuel cycle'!$G$12</f>
        <v>0</v>
      </c>
      <c r="O143" s="157">
        <f>'Absolute Volume'!O143/'Energy data by fuel cycle'!$G$12</f>
        <v>0</v>
      </c>
      <c r="P143" s="157">
        <f>'Absolute Volume'!P143/'Energy data by fuel cycle'!$G$12</f>
        <v>0</v>
      </c>
      <c r="Q143" s="78">
        <f>'Absolute Volume'!Q143/'Energy data by fuel cycle'!$G$12</f>
        <v>4.7308162101221867E-3</v>
      </c>
      <c r="R143" s="132">
        <f>'Absolute Volume'!R143/'Energy data by fuel cycle'!$G$12</f>
        <v>6.9581204552324324E-3</v>
      </c>
      <c r="S143" s="159">
        <f>'Absolute Volume'!S143/'Energy data by fuel cycle'!$G$12</f>
        <v>0</v>
      </c>
      <c r="T143" s="77"/>
    </row>
    <row r="144" spans="1:20" s="11" customFormat="1" ht="14" customHeight="1">
      <c r="A144" s="77"/>
      <c r="B144" s="755"/>
      <c r="C144" s="150" t="s">
        <v>10</v>
      </c>
      <c r="D144" s="134" t="s">
        <v>7</v>
      </c>
      <c r="E144" s="476">
        <f>'Absolute Volume'!E144/'Energy data by fuel cycle'!$G$12</f>
        <v>0</v>
      </c>
      <c r="F144" s="157">
        <f>'Absolute Volume'!F144/'Energy data by fuel cycle'!$G$12</f>
        <v>0</v>
      </c>
      <c r="G144" s="157">
        <f>'Absolute Volume'!G144/'Energy data by fuel cycle'!$G$12</f>
        <v>0</v>
      </c>
      <c r="H144" s="157">
        <f>'Absolute Volume'!H144/'Energy data by fuel cycle'!$G$12</f>
        <v>0</v>
      </c>
      <c r="I144" s="157">
        <f>'Absolute Volume'!I144/'Energy data by fuel cycle'!$G$12</f>
        <v>0</v>
      </c>
      <c r="J144" s="157">
        <f>'Absolute Volume'!J144/'Energy data by fuel cycle'!$G$12</f>
        <v>0</v>
      </c>
      <c r="K144" s="158">
        <f>'Absolute Volume'!K144/'Energy data by fuel cycle'!$G$12</f>
        <v>2.4864082123973459E-4</v>
      </c>
      <c r="L144" s="158">
        <f>'Absolute Volume'!L144/'Energy data by fuel cycle'!$G$12</f>
        <v>2.8662839438716326E-3</v>
      </c>
      <c r="M144" s="157">
        <f>'Absolute Volume'!M144/'Energy data by fuel cycle'!$G$12</f>
        <v>0</v>
      </c>
      <c r="N144" s="157">
        <f>'Absolute Volume'!N144/'Energy data by fuel cycle'!$G$12</f>
        <v>0</v>
      </c>
      <c r="O144" s="157">
        <f>'Absolute Volume'!O144/'Energy data by fuel cycle'!$G$12</f>
        <v>0</v>
      </c>
      <c r="P144" s="157">
        <f>'Absolute Volume'!P144/'Energy data by fuel cycle'!$G$12</f>
        <v>0</v>
      </c>
      <c r="Q144" s="78">
        <f>'Absolute Volume'!Q144/'Energy data by fuel cycle'!$G$12</f>
        <v>2.4864082123973459E-4</v>
      </c>
      <c r="R144" s="132">
        <f>'Absolute Volume'!R144/'Energy data by fuel cycle'!$G$12</f>
        <v>2.8662839438716326E-3</v>
      </c>
      <c r="S144" s="159">
        <f>'Absolute Volume'!S144/'Energy data by fuel cycle'!$G$12</f>
        <v>0</v>
      </c>
      <c r="T144" s="77"/>
    </row>
    <row r="145" spans="1:20" s="11" customFormat="1" ht="14" customHeight="1">
      <c r="A145" s="77"/>
      <c r="B145" s="755"/>
      <c r="C145" s="150" t="s">
        <v>10</v>
      </c>
      <c r="D145" s="135" t="s">
        <v>1</v>
      </c>
      <c r="E145" s="476">
        <f>'Absolute Volume'!E145/'Energy data by fuel cycle'!$G$12</f>
        <v>0</v>
      </c>
      <c r="F145" s="157">
        <f>'Absolute Volume'!F145/'Energy data by fuel cycle'!$G$12</f>
        <v>0</v>
      </c>
      <c r="G145" s="157">
        <f>'Absolute Volume'!G145/'Energy data by fuel cycle'!$G$12</f>
        <v>0</v>
      </c>
      <c r="H145" s="157">
        <f>'Absolute Volume'!H145/'Energy data by fuel cycle'!$G$12</f>
        <v>0</v>
      </c>
      <c r="I145" s="157">
        <f>'Absolute Volume'!I145/'Energy data by fuel cycle'!$G$12</f>
        <v>0</v>
      </c>
      <c r="J145" s="157">
        <f>'Absolute Volume'!J145/'Energy data by fuel cycle'!$G$12</f>
        <v>0</v>
      </c>
      <c r="K145" s="158">
        <f>'Absolute Volume'!K145/'Energy data by fuel cycle'!$G$12</f>
        <v>2.2863379387485895E-4</v>
      </c>
      <c r="L145" s="158">
        <f>'Absolute Volume'!L145/'Energy data by fuel cycle'!$G$12</f>
        <v>3.3375018200463421E-3</v>
      </c>
      <c r="M145" s="157">
        <f>'Absolute Volume'!M145/'Energy data by fuel cycle'!$G$12</f>
        <v>0</v>
      </c>
      <c r="N145" s="157">
        <f>'Absolute Volume'!N145/'Energy data by fuel cycle'!$G$12</f>
        <v>0</v>
      </c>
      <c r="O145" s="157">
        <f>'Absolute Volume'!O145/'Energy data by fuel cycle'!$G$12</f>
        <v>0</v>
      </c>
      <c r="P145" s="157">
        <f>'Absolute Volume'!P145/'Energy data by fuel cycle'!$G$12</f>
        <v>0</v>
      </c>
      <c r="Q145" s="78">
        <f>'Absolute Volume'!Q145/'Energy data by fuel cycle'!$G$12</f>
        <v>2.2863379387485895E-4</v>
      </c>
      <c r="R145" s="132">
        <f>'Absolute Volume'!R145/'Energy data by fuel cycle'!$G$12</f>
        <v>3.3375018200463421E-3</v>
      </c>
      <c r="S145" s="159">
        <f>'Absolute Volume'!S145/'Energy data by fuel cycle'!$G$12</f>
        <v>0</v>
      </c>
      <c r="T145" s="77"/>
    </row>
    <row r="146" spans="1:20" s="11" customFormat="1" ht="14" customHeight="1" thickBot="1">
      <c r="A146" s="77"/>
      <c r="B146" s="755"/>
      <c r="C146" s="150" t="s">
        <v>10</v>
      </c>
      <c r="D146" s="166" t="s">
        <v>13</v>
      </c>
      <c r="E146" s="476">
        <f>'Absolute Volume'!E146/'Energy data by fuel cycle'!$G$12</f>
        <v>8.710564732362576E-5</v>
      </c>
      <c r="F146" s="157">
        <f>'Absolute Volume'!F146/'Energy data by fuel cycle'!$G$12</f>
        <v>0</v>
      </c>
      <c r="G146" s="157">
        <f>'Absolute Volume'!G146/'Energy data by fuel cycle'!$G$12</f>
        <v>0</v>
      </c>
      <c r="H146" s="157">
        <f>'Absolute Volume'!H146/'Energy data by fuel cycle'!$G$12</f>
        <v>0</v>
      </c>
      <c r="I146" s="157">
        <f>'Absolute Volume'!I146/'Energy data by fuel cycle'!$G$12</f>
        <v>0</v>
      </c>
      <c r="J146" s="157">
        <f>'Absolute Volume'!J146/'Energy data by fuel cycle'!$G$12</f>
        <v>0</v>
      </c>
      <c r="K146" s="158">
        <f>'Absolute Volume'!K146/'Energy data by fuel cycle'!$G$12</f>
        <v>0</v>
      </c>
      <c r="L146" s="158">
        <f>'Absolute Volume'!L146/'Energy data by fuel cycle'!$G$12</f>
        <v>0</v>
      </c>
      <c r="M146" s="157">
        <f>'Absolute Volume'!M146/'Energy data by fuel cycle'!$G$12</f>
        <v>0</v>
      </c>
      <c r="N146" s="157">
        <f>'Absolute Volume'!N146/'Energy data by fuel cycle'!$G$12</f>
        <v>0</v>
      </c>
      <c r="O146" s="157">
        <f>'Absolute Volume'!O146/'Energy data by fuel cycle'!$G$12</f>
        <v>0</v>
      </c>
      <c r="P146" s="157">
        <f>'Absolute Volume'!P146/'Energy data by fuel cycle'!$G$12</f>
        <v>0</v>
      </c>
      <c r="Q146" s="78">
        <f>'Absolute Volume'!Q146/'Energy data by fuel cycle'!$G$12</f>
        <v>8.710564732362576E-5</v>
      </c>
      <c r="R146" s="132">
        <f>'Absolute Volume'!R146/'Energy data by fuel cycle'!$G$12</f>
        <v>0</v>
      </c>
      <c r="S146" s="159">
        <f>'Absolute Volume'!S146/'Energy data by fuel cycle'!$G$12</f>
        <v>0</v>
      </c>
      <c r="T146" s="77"/>
    </row>
    <row r="147" spans="1:20" s="11" customFormat="1" ht="30" customHeight="1" thickBot="1">
      <c r="A147" s="77"/>
      <c r="B147" s="787" t="s">
        <v>26</v>
      </c>
      <c r="C147" s="788"/>
      <c r="D147" s="788"/>
      <c r="E147" s="788"/>
      <c r="F147" s="788"/>
      <c r="G147" s="788"/>
      <c r="H147" s="788"/>
      <c r="I147" s="788"/>
      <c r="J147" s="788"/>
      <c r="K147" s="788"/>
      <c r="L147" s="788"/>
      <c r="M147" s="788"/>
      <c r="N147" s="788"/>
      <c r="O147" s="788"/>
      <c r="P147" s="788"/>
      <c r="Q147" s="788"/>
      <c r="R147" s="788"/>
      <c r="S147" s="789"/>
      <c r="T147" s="77"/>
    </row>
    <row r="148" spans="1:20" s="11" customFormat="1" ht="14" customHeight="1">
      <c r="A148" s="77"/>
      <c r="B148" s="755" t="s">
        <v>856</v>
      </c>
      <c r="C148" s="120"/>
      <c r="D148" s="156"/>
      <c r="E148" s="759" t="s">
        <v>591</v>
      </c>
      <c r="F148" s="760"/>
      <c r="G148" s="756" t="s">
        <v>66</v>
      </c>
      <c r="H148" s="756"/>
      <c r="I148" s="742" t="s">
        <v>67</v>
      </c>
      <c r="J148" s="742"/>
      <c r="K148" s="743" t="s">
        <v>68</v>
      </c>
      <c r="L148" s="743"/>
      <c r="M148" s="744" t="s">
        <v>69</v>
      </c>
      <c r="N148" s="744"/>
      <c r="O148" s="745" t="s">
        <v>413</v>
      </c>
      <c r="P148" s="745"/>
      <c r="Q148" s="121" t="s">
        <v>763</v>
      </c>
      <c r="R148" s="122" t="s">
        <v>763</v>
      </c>
      <c r="S148" s="123" t="s">
        <v>763</v>
      </c>
      <c r="T148" s="77"/>
    </row>
    <row r="149" spans="1:20" s="11" customFormat="1" ht="14" customHeight="1">
      <c r="A149" s="77"/>
      <c r="B149" s="755"/>
      <c r="C149" s="120"/>
      <c r="D149" s="156"/>
      <c r="E149" s="469" t="s">
        <v>209</v>
      </c>
      <c r="F149" s="414" t="s">
        <v>208</v>
      </c>
      <c r="G149" s="414" t="s">
        <v>209</v>
      </c>
      <c r="H149" s="414" t="s">
        <v>208</v>
      </c>
      <c r="I149" s="414" t="s">
        <v>209</v>
      </c>
      <c r="J149" s="414" t="s">
        <v>208</v>
      </c>
      <c r="K149" s="414" t="s">
        <v>209</v>
      </c>
      <c r="L149" s="414" t="s">
        <v>208</v>
      </c>
      <c r="M149" s="414" t="s">
        <v>209</v>
      </c>
      <c r="N149" s="414" t="s">
        <v>208</v>
      </c>
      <c r="O149" s="414" t="s">
        <v>209</v>
      </c>
      <c r="P149" s="414" t="s">
        <v>208</v>
      </c>
      <c r="Q149" s="121" t="s">
        <v>209</v>
      </c>
      <c r="R149" s="468" t="s">
        <v>208</v>
      </c>
      <c r="S149" s="123" t="s">
        <v>413</v>
      </c>
      <c r="T149" s="77"/>
    </row>
    <row r="150" spans="1:20" s="11" customFormat="1" ht="28" customHeight="1">
      <c r="A150" s="77"/>
      <c r="B150" s="755"/>
      <c r="C150" s="124" t="s">
        <v>761</v>
      </c>
      <c r="D150" s="125" t="s">
        <v>762</v>
      </c>
      <c r="E150" s="126">
        <f t="shared" ref="E150:S150" si="9">SUM(E151:E162)</f>
        <v>3.9359925714710024E-2</v>
      </c>
      <c r="F150" s="126">
        <f t="shared" si="9"/>
        <v>3.9359925714710024E-2</v>
      </c>
      <c r="G150" s="126">
        <f t="shared" si="9"/>
        <v>2.6305797454404464E-3</v>
      </c>
      <c r="H150" s="126">
        <f t="shared" si="9"/>
        <v>3.673575675890604E-3</v>
      </c>
      <c r="I150" s="126">
        <f t="shared" si="9"/>
        <v>4.937634237282074E-3</v>
      </c>
      <c r="J150" s="126">
        <f t="shared" si="9"/>
        <v>5.0655896655064257E-3</v>
      </c>
      <c r="K150" s="126">
        <f t="shared" si="9"/>
        <v>4.1498011656898717E-2</v>
      </c>
      <c r="L150" s="126">
        <f t="shared" si="9"/>
        <v>0.78203718261153898</v>
      </c>
      <c r="M150" s="126">
        <f t="shared" si="9"/>
        <v>0</v>
      </c>
      <c r="N150" s="126">
        <f t="shared" si="9"/>
        <v>0</v>
      </c>
      <c r="O150" s="126">
        <f t="shared" si="9"/>
        <v>-4.7335964201313023E-2</v>
      </c>
      <c r="P150" s="126">
        <f t="shared" si="9"/>
        <v>-4.7335964201313023E-2</v>
      </c>
      <c r="Q150" s="79">
        <f t="shared" si="9"/>
        <v>8.8426151354331239E-2</v>
      </c>
      <c r="R150" s="127">
        <f t="shared" si="9"/>
        <v>0.83013627366764597</v>
      </c>
      <c r="S150" s="128">
        <f t="shared" si="9"/>
        <v>-4.7335964201313023E-2</v>
      </c>
      <c r="T150" s="77"/>
    </row>
    <row r="151" spans="1:20" s="11" customFormat="1" ht="14" customHeight="1">
      <c r="A151" s="77"/>
      <c r="B151" s="755"/>
      <c r="C151" s="142" t="s">
        <v>9</v>
      </c>
      <c r="D151" s="143" t="s">
        <v>0</v>
      </c>
      <c r="E151" s="475">
        <f>'Absolute Volume'!E151/'Energy data by fuel cycle'!$G$13</f>
        <v>1.6333965851726133E-2</v>
      </c>
      <c r="F151" s="157">
        <f>'Absolute Volume'!F151/'Energy data by fuel cycle'!$G$13</f>
        <v>1.6333965851726133E-2</v>
      </c>
      <c r="G151" s="157">
        <f>'Absolute Volume'!G151/'Energy data by fuel cycle'!$G$13</f>
        <v>9.3527363363920526E-4</v>
      </c>
      <c r="H151" s="157">
        <f>'Absolute Volume'!H151/'Energy data by fuel cycle'!$G$13</f>
        <v>1.3455817356157523E-3</v>
      </c>
      <c r="I151" s="157">
        <f>'Absolute Volume'!I151/'Energy data by fuel cycle'!$G$13</f>
        <v>9.8746040840059775E-4</v>
      </c>
      <c r="J151" s="157">
        <f>'Absolute Volume'!J151/'Energy data by fuel cycle'!$G$13</f>
        <v>1.0386061398734775E-3</v>
      </c>
      <c r="K151" s="158">
        <f>'Absolute Volume'!K151/'Energy data by fuel cycle'!$G$13</f>
        <v>1.1656152696984421E-2</v>
      </c>
      <c r="L151" s="158">
        <f>'Absolute Volume'!L151/'Energy data by fuel cycle'!$G$13</f>
        <v>1.4792697894258902E-2</v>
      </c>
      <c r="M151" s="157">
        <f>'Absolute Volume'!M151/'Energy data by fuel cycle'!$G$13</f>
        <v>0</v>
      </c>
      <c r="N151" s="157">
        <f>'Absolute Volume'!N151/'Energy data by fuel cycle'!$G$13</f>
        <v>0</v>
      </c>
      <c r="O151" s="157">
        <f>'Absolute Volume'!O151/'Energy data by fuel cycle'!$G$13</f>
        <v>0</v>
      </c>
      <c r="P151" s="157">
        <f>'Absolute Volume'!P151/'Energy data by fuel cycle'!$G$13</f>
        <v>0</v>
      </c>
      <c r="Q151" s="78">
        <f>'Absolute Volume'!Q151/'Energy data by fuel cycle'!$G$13</f>
        <v>2.9912852590750355E-2</v>
      </c>
      <c r="R151" s="132">
        <f>'Absolute Volume'!R151/'Energy data by fuel cycle'!$G$13</f>
        <v>3.3510851621474269E-2</v>
      </c>
      <c r="S151" s="159">
        <f>'Absolute Volume'!S151/'Energy data by fuel cycle'!$G$13</f>
        <v>0</v>
      </c>
      <c r="T151" s="77"/>
    </row>
    <row r="152" spans="1:20" s="11" customFormat="1" ht="14" customHeight="1">
      <c r="A152" s="77"/>
      <c r="B152" s="755"/>
      <c r="C152" s="142" t="s">
        <v>9</v>
      </c>
      <c r="D152" s="134" t="s">
        <v>7</v>
      </c>
      <c r="E152" s="476">
        <f>'Absolute Volume'!E152/'Energy data by fuel cycle'!$G$13</f>
        <v>3.6877027341798451E-3</v>
      </c>
      <c r="F152" s="157">
        <f>'Absolute Volume'!F152/'Energy data by fuel cycle'!$G$13</f>
        <v>3.6877027341798451E-3</v>
      </c>
      <c r="G152" s="157">
        <f>'Absolute Volume'!G152/'Energy data by fuel cycle'!$G$13</f>
        <v>1.0567834019109689E-4</v>
      </c>
      <c r="H152" s="157">
        <f>'Absolute Volume'!H152/'Energy data by fuel cycle'!$G$13</f>
        <v>1.0111403743657867E-4</v>
      </c>
      <c r="I152" s="157">
        <f>'Absolute Volume'!I152/'Energy data by fuel cycle'!$G$13</f>
        <v>0</v>
      </c>
      <c r="J152" s="157">
        <f>'Absolute Volume'!J152/'Energy data by fuel cycle'!$G$13</f>
        <v>0</v>
      </c>
      <c r="K152" s="158">
        <f>'Absolute Volume'!K152/'Energy data by fuel cycle'!$G$13</f>
        <v>3.1545004815898084E-5</v>
      </c>
      <c r="L152" s="158">
        <f>'Absolute Volume'!L152/'Energy data by fuel cycle'!$G$13</f>
        <v>3.8805682152611882E-5</v>
      </c>
      <c r="M152" s="157">
        <f>'Absolute Volume'!M152/'Energy data by fuel cycle'!$G$13</f>
        <v>0</v>
      </c>
      <c r="N152" s="157">
        <f>'Absolute Volume'!N152/'Energy data by fuel cycle'!$G$13</f>
        <v>0</v>
      </c>
      <c r="O152" s="157">
        <f>'Absolute Volume'!O152/'Energy data by fuel cycle'!$G$13</f>
        <v>0</v>
      </c>
      <c r="P152" s="157">
        <f>'Absolute Volume'!P152/'Energy data by fuel cycle'!$G$13</f>
        <v>0</v>
      </c>
      <c r="Q152" s="78">
        <f>'Absolute Volume'!Q152/'Energy data by fuel cycle'!$G$13</f>
        <v>3.82492607918684E-3</v>
      </c>
      <c r="R152" s="132">
        <f>'Absolute Volume'!R152/'Energy data by fuel cycle'!$G$13</f>
        <v>3.8276224537690359E-3</v>
      </c>
      <c r="S152" s="159">
        <f>'Absolute Volume'!S152/'Energy data by fuel cycle'!$G$13</f>
        <v>0</v>
      </c>
      <c r="T152" s="77"/>
    </row>
    <row r="153" spans="1:20" s="11" customFormat="1" ht="14" customHeight="1">
      <c r="A153" s="77"/>
      <c r="B153" s="755"/>
      <c r="C153" s="142" t="s">
        <v>9</v>
      </c>
      <c r="D153" s="135" t="s">
        <v>1</v>
      </c>
      <c r="E153" s="476">
        <f>'Absolute Volume'!E153/'Energy data by fuel cycle'!$G$13</f>
        <v>1.5900438438568084E-3</v>
      </c>
      <c r="F153" s="157">
        <f>'Absolute Volume'!F153/'Energy data by fuel cycle'!$G$13</f>
        <v>2.4493947779046141E-3</v>
      </c>
      <c r="G153" s="157">
        <f>'Absolute Volume'!G153/'Energy data by fuel cycle'!$G$13</f>
        <v>4.5565818712128435E-5</v>
      </c>
      <c r="H153" s="157">
        <f>'Absolute Volume'!H153/'Energy data by fuel cycle'!$G$13</f>
        <v>6.71605639398398E-5</v>
      </c>
      <c r="I153" s="157">
        <f>'Absolute Volume'!I153/'Energy data by fuel cycle'!$G$13</f>
        <v>0</v>
      </c>
      <c r="J153" s="157">
        <f>'Absolute Volume'!J153/'Energy data by fuel cycle'!$G$13</f>
        <v>0</v>
      </c>
      <c r="K153" s="158">
        <f>'Absolute Volume'!K153/'Energy data by fuel cycle'!$G$13</f>
        <v>7.1449875543781627E-5</v>
      </c>
      <c r="L153" s="158">
        <f>'Absolute Volume'!L153/'Energy data by fuel cycle'!$G$13</f>
        <v>8.8194950890620505E-5</v>
      </c>
      <c r="M153" s="157">
        <f>'Absolute Volume'!M153/'Energy data by fuel cycle'!$G$13</f>
        <v>0</v>
      </c>
      <c r="N153" s="157">
        <f>'Absolute Volume'!N153/'Energy data by fuel cycle'!$G$13</f>
        <v>0</v>
      </c>
      <c r="O153" s="157">
        <f>'Absolute Volume'!O153/'Energy data by fuel cycle'!$G$13</f>
        <v>0</v>
      </c>
      <c r="P153" s="157">
        <f>'Absolute Volume'!P153/'Energy data by fuel cycle'!$G$13</f>
        <v>0</v>
      </c>
      <c r="Q153" s="78">
        <f>'Absolute Volume'!Q153/'Energy data by fuel cycle'!$G$13</f>
        <v>1.7070595381127186E-3</v>
      </c>
      <c r="R153" s="132">
        <f>'Absolute Volume'!R153/'Energy data by fuel cycle'!$G$13</f>
        <v>2.6047502927350748E-3</v>
      </c>
      <c r="S153" s="159">
        <f>'Absolute Volume'!S153/'Energy data by fuel cycle'!$G$13</f>
        <v>0</v>
      </c>
      <c r="T153" s="77"/>
    </row>
    <row r="154" spans="1:20" s="11" customFormat="1" ht="14" customHeight="1">
      <c r="A154" s="77"/>
      <c r="B154" s="755"/>
      <c r="C154" s="144" t="s">
        <v>9</v>
      </c>
      <c r="D154" s="145" t="s">
        <v>13</v>
      </c>
      <c r="E154" s="477">
        <f>'Absolute Volume'!E154/'Energy data by fuel cycle'!$G$13</f>
        <v>1.0076750047190797E-2</v>
      </c>
      <c r="F154" s="163">
        <f>'Absolute Volume'!F154/'Energy data by fuel cycle'!$G$13</f>
        <v>1.0076750047190797E-2</v>
      </c>
      <c r="G154" s="163">
        <f>'Absolute Volume'!G154/'Energy data by fuel cycle'!$G$13</f>
        <v>2.8876899692526766E-4</v>
      </c>
      <c r="H154" s="163">
        <f>'Absolute Volume'!H154/'Energy data by fuel cycle'!$G$13</f>
        <v>2.7629691299868359E-4</v>
      </c>
      <c r="I154" s="163">
        <f>'Absolute Volume'!I154/'Energy data by fuel cycle'!$G$13</f>
        <v>0</v>
      </c>
      <c r="J154" s="163">
        <f>'Absolute Volume'!J154/'Energy data by fuel cycle'!$G$13</f>
        <v>0</v>
      </c>
      <c r="K154" s="164">
        <f>'Absolute Volume'!K154/'Energy data by fuel cycle'!$G$13</f>
        <v>0</v>
      </c>
      <c r="L154" s="164">
        <f>'Absolute Volume'!L154/'Energy data by fuel cycle'!$G$13</f>
        <v>0</v>
      </c>
      <c r="M154" s="163">
        <f>'Absolute Volume'!M154/'Energy data by fuel cycle'!$G$13</f>
        <v>0</v>
      </c>
      <c r="N154" s="163">
        <f>'Absolute Volume'!N154/'Energy data by fuel cycle'!$G$13</f>
        <v>0</v>
      </c>
      <c r="O154" s="163">
        <f>'Absolute Volume'!O154/'Energy data by fuel cycle'!$G$13</f>
        <v>0</v>
      </c>
      <c r="P154" s="163">
        <f>'Absolute Volume'!P154/'Energy data by fuel cycle'!$G$13</f>
        <v>0</v>
      </c>
      <c r="Q154" s="147">
        <f>'Absolute Volume'!Q154/'Energy data by fuel cycle'!$G$13</f>
        <v>1.0365519044116063E-2</v>
      </c>
      <c r="R154" s="148">
        <f>'Absolute Volume'!R154/'Energy data by fuel cycle'!$G$13</f>
        <v>1.0353046960189479E-2</v>
      </c>
      <c r="S154" s="165">
        <f>'Absolute Volume'!S154/'Energy data by fuel cycle'!$G$13</f>
        <v>0</v>
      </c>
      <c r="T154" s="77"/>
    </row>
    <row r="155" spans="1:20" s="11" customFormat="1" ht="14" customHeight="1">
      <c r="A155" s="77"/>
      <c r="B155" s="755"/>
      <c r="C155" s="129" t="s">
        <v>8</v>
      </c>
      <c r="D155" s="130" t="s">
        <v>0</v>
      </c>
      <c r="E155" s="476">
        <f>'Absolute Volume'!E155/'Energy data by fuel cycle'!$G$13</f>
        <v>6.8121123037086359E-3</v>
      </c>
      <c r="F155" s="157">
        <f>'Absolute Volume'!F155/'Energy data by fuel cycle'!$G$13</f>
        <v>6.8121123037086359E-3</v>
      </c>
      <c r="G155" s="157">
        <f>'Absolute Volume'!G155/'Energy data by fuel cycle'!$G$13</f>
        <v>1.2552929559727481E-3</v>
      </c>
      <c r="H155" s="157">
        <f>'Absolute Volume'!H155/'Energy data by fuel cycle'!$G$13</f>
        <v>1.8834224258997493E-3</v>
      </c>
      <c r="I155" s="157">
        <f>'Absolute Volume'!I155/'Energy data by fuel cycle'!$G$13</f>
        <v>3.949841633602391E-3</v>
      </c>
      <c r="J155" s="157">
        <f>'Absolute Volume'!J155/'Energy data by fuel cycle'!$G$13</f>
        <v>4.0265602308117111E-3</v>
      </c>
      <c r="K155" s="158">
        <f>'Absolute Volume'!K155/'Energy data by fuel cycle'!$G$13</f>
        <v>2.1246468615818807E-2</v>
      </c>
      <c r="L155" s="158">
        <f>'Absolute Volume'!L155/'Energy data by fuel cycle'!$G$13</f>
        <v>0.36578429892581504</v>
      </c>
      <c r="M155" s="157">
        <f>'Absolute Volume'!M155/'Energy data by fuel cycle'!$G$13</f>
        <v>0</v>
      </c>
      <c r="N155" s="157">
        <f>'Absolute Volume'!N155/'Energy data by fuel cycle'!$G$13</f>
        <v>0</v>
      </c>
      <c r="O155" s="157">
        <f>'Absolute Volume'!O155/'Energy data by fuel cycle'!$G$13</f>
        <v>-4.7335964201313023E-2</v>
      </c>
      <c r="P155" s="157">
        <f>'Absolute Volume'!P155/'Energy data by fuel cycle'!$G$13</f>
        <v>-4.7335964201313023E-2</v>
      </c>
      <c r="Q155" s="78">
        <f>'Absolute Volume'!Q155/'Energy data by fuel cycle'!$G$13</f>
        <v>3.3263715509102579E-2</v>
      </c>
      <c r="R155" s="132">
        <f>'Absolute Volume'!R155/'Energy data by fuel cycle'!$G$13</f>
        <v>0.37850639388623514</v>
      </c>
      <c r="S155" s="159">
        <f>'Absolute Volume'!S155/'Energy data by fuel cycle'!$G$13</f>
        <v>-4.7335964201313023E-2</v>
      </c>
      <c r="T155" s="77"/>
    </row>
    <row r="156" spans="1:20" s="11" customFormat="1" ht="14" customHeight="1">
      <c r="A156" s="77"/>
      <c r="B156" s="755"/>
      <c r="C156" s="129" t="s">
        <v>8</v>
      </c>
      <c r="D156" s="134" t="s">
        <v>7</v>
      </c>
      <c r="E156" s="476">
        <f>'Absolute Volume'!E156/'Energy data by fuel cycle'!$G$13</f>
        <v>0</v>
      </c>
      <c r="F156" s="157">
        <f>'Absolute Volume'!F156/'Energy data by fuel cycle'!$G$13</f>
        <v>0</v>
      </c>
      <c r="G156" s="157">
        <f>'Absolute Volume'!G156/'Energy data by fuel cycle'!$G$13</f>
        <v>0</v>
      </c>
      <c r="H156" s="157">
        <f>'Absolute Volume'!H156/'Energy data by fuel cycle'!$G$13</f>
        <v>0</v>
      </c>
      <c r="I156" s="157">
        <f>'Absolute Volume'!I156/'Energy data by fuel cycle'!$G$13</f>
        <v>0</v>
      </c>
      <c r="J156" s="157">
        <f>'Absolute Volume'!J156/'Energy data by fuel cycle'!$G$13</f>
        <v>0</v>
      </c>
      <c r="K156" s="158">
        <f>'Absolute Volume'!K156/'Energy data by fuel cycle'!$G$13</f>
        <v>1.7268400687079888E-3</v>
      </c>
      <c r="L156" s="158">
        <f>'Absolute Volume'!L156/'Energy data by fuel cycle'!$G$13</f>
        <v>0.17866679985299411</v>
      </c>
      <c r="M156" s="157">
        <f>'Absolute Volume'!M156/'Energy data by fuel cycle'!$G$13</f>
        <v>0</v>
      </c>
      <c r="N156" s="157">
        <f>'Absolute Volume'!N156/'Energy data by fuel cycle'!$G$13</f>
        <v>0</v>
      </c>
      <c r="O156" s="157">
        <f>'Absolute Volume'!O156/'Energy data by fuel cycle'!$G$13</f>
        <v>0</v>
      </c>
      <c r="P156" s="157">
        <f>'Absolute Volume'!P156/'Energy data by fuel cycle'!$G$13</f>
        <v>0</v>
      </c>
      <c r="Q156" s="78">
        <f>'Absolute Volume'!Q156/'Energy data by fuel cycle'!$G$13</f>
        <v>1.7268400687079888E-3</v>
      </c>
      <c r="R156" s="132">
        <f>'Absolute Volume'!R156/'Energy data by fuel cycle'!$G$13</f>
        <v>0.17866679985299411</v>
      </c>
      <c r="S156" s="159">
        <f>'Absolute Volume'!S156/'Energy data by fuel cycle'!$G$13</f>
        <v>0</v>
      </c>
      <c r="T156" s="77"/>
    </row>
    <row r="157" spans="1:20" s="11" customFormat="1" ht="14" customHeight="1">
      <c r="A157" s="77"/>
      <c r="B157" s="755"/>
      <c r="C157" s="129" t="s">
        <v>8</v>
      </c>
      <c r="D157" s="135" t="s">
        <v>1</v>
      </c>
      <c r="E157" s="476">
        <f>'Absolute Volume'!E157/'Energy data by fuel cycle'!$G$13</f>
        <v>0</v>
      </c>
      <c r="F157" s="157">
        <f>'Absolute Volume'!F157/'Energy data by fuel cycle'!$G$13</f>
        <v>0</v>
      </c>
      <c r="G157" s="157">
        <f>'Absolute Volume'!G157/'Energy data by fuel cycle'!$G$13</f>
        <v>0</v>
      </c>
      <c r="H157" s="157">
        <f>'Absolute Volume'!H157/'Energy data by fuel cycle'!$G$13</f>
        <v>0</v>
      </c>
      <c r="I157" s="157">
        <f>'Absolute Volume'!I157/'Energy data by fuel cycle'!$G$13</f>
        <v>3.3219527908486762E-7</v>
      </c>
      <c r="J157" s="157">
        <f>'Absolute Volume'!J157/'Energy data by fuel cycle'!$G$13</f>
        <v>4.2329482123698366E-7</v>
      </c>
      <c r="K157" s="158">
        <f>'Absolute Volume'!K157/'Energy data by fuel cycle'!$G$13</f>
        <v>1.5574645697910383E-3</v>
      </c>
      <c r="L157" s="158">
        <f>'Absolute Volume'!L157/'Energy data by fuel cycle'!$G$13</f>
        <v>0.20950447908627723</v>
      </c>
      <c r="M157" s="157">
        <f>'Absolute Volume'!M157/'Energy data by fuel cycle'!$G$13</f>
        <v>0</v>
      </c>
      <c r="N157" s="157">
        <f>'Absolute Volume'!N157/'Energy data by fuel cycle'!$G$13</f>
        <v>0</v>
      </c>
      <c r="O157" s="157">
        <f>'Absolute Volume'!O157/'Energy data by fuel cycle'!$G$13</f>
        <v>0</v>
      </c>
      <c r="P157" s="157">
        <f>'Absolute Volume'!P157/'Energy data by fuel cycle'!$G$13</f>
        <v>0</v>
      </c>
      <c r="Q157" s="78">
        <f>'Absolute Volume'!Q157/'Energy data by fuel cycle'!$G$13</f>
        <v>1.5577967650701231E-3</v>
      </c>
      <c r="R157" s="132">
        <f>'Absolute Volume'!R157/'Energy data by fuel cycle'!$G$13</f>
        <v>0.20950490238109845</v>
      </c>
      <c r="S157" s="159">
        <f>'Absolute Volume'!S157/'Energy data by fuel cycle'!$G$13</f>
        <v>0</v>
      </c>
      <c r="T157" s="77"/>
    </row>
    <row r="158" spans="1:20" s="11" customFormat="1" ht="14" customHeight="1">
      <c r="A158" s="77"/>
      <c r="B158" s="755"/>
      <c r="C158" s="136" t="s">
        <v>8</v>
      </c>
      <c r="D158" s="137" t="s">
        <v>13</v>
      </c>
      <c r="E158" s="478">
        <f>'Absolute Volume'!E158/'Energy data by fuel cycle'!$G$13</f>
        <v>0</v>
      </c>
      <c r="F158" s="160">
        <f>'Absolute Volume'!F158/'Energy data by fuel cycle'!$G$13</f>
        <v>0</v>
      </c>
      <c r="G158" s="160">
        <f>'Absolute Volume'!G158/'Energy data by fuel cycle'!$G$13</f>
        <v>0</v>
      </c>
      <c r="H158" s="160">
        <f>'Absolute Volume'!H158/'Energy data by fuel cycle'!$G$13</f>
        <v>0</v>
      </c>
      <c r="I158" s="160">
        <f>'Absolute Volume'!I158/'Energy data by fuel cycle'!$G$13</f>
        <v>0</v>
      </c>
      <c r="J158" s="160">
        <f>'Absolute Volume'!J158/'Energy data by fuel cycle'!$G$13</f>
        <v>0</v>
      </c>
      <c r="K158" s="161">
        <f>'Absolute Volume'!K158/'Energy data by fuel cycle'!$G$13</f>
        <v>0</v>
      </c>
      <c r="L158" s="161">
        <f>'Absolute Volume'!L158/'Energy data by fuel cycle'!$G$13</f>
        <v>0</v>
      </c>
      <c r="M158" s="160">
        <f>'Absolute Volume'!M158/'Energy data by fuel cycle'!$G$13</f>
        <v>0</v>
      </c>
      <c r="N158" s="160">
        <f>'Absolute Volume'!N158/'Energy data by fuel cycle'!$G$13</f>
        <v>0</v>
      </c>
      <c r="O158" s="160">
        <f>'Absolute Volume'!O158/'Energy data by fuel cycle'!$G$13</f>
        <v>0</v>
      </c>
      <c r="P158" s="160">
        <f>'Absolute Volume'!P158/'Energy data by fuel cycle'!$G$13</f>
        <v>0</v>
      </c>
      <c r="Q158" s="139">
        <f>'Absolute Volume'!Q158/'Energy data by fuel cycle'!$G$13</f>
        <v>0</v>
      </c>
      <c r="R158" s="140">
        <f>'Absolute Volume'!R158/'Energy data by fuel cycle'!$G$13</f>
        <v>0</v>
      </c>
      <c r="S158" s="162">
        <f>'Absolute Volume'!S158/'Energy data by fuel cycle'!$G$13</f>
        <v>0</v>
      </c>
      <c r="T158" s="77"/>
    </row>
    <row r="159" spans="1:20" s="11" customFormat="1" ht="14" customHeight="1">
      <c r="A159" s="77"/>
      <c r="B159" s="755"/>
      <c r="C159" s="150" t="s">
        <v>10</v>
      </c>
      <c r="D159" s="143" t="s">
        <v>0</v>
      </c>
      <c r="E159" s="476">
        <f>'Absolute Volume'!E159/'Energy data by fuel cycle'!$G$13</f>
        <v>0</v>
      </c>
      <c r="F159" s="157">
        <f>'Absolute Volume'!F159/'Energy data by fuel cycle'!$G$13</f>
        <v>0</v>
      </c>
      <c r="G159" s="157">
        <f>'Absolute Volume'!G159/'Energy data by fuel cycle'!$G$13</f>
        <v>0</v>
      </c>
      <c r="H159" s="157">
        <f>'Absolute Volume'!H159/'Energy data by fuel cycle'!$G$13</f>
        <v>0</v>
      </c>
      <c r="I159" s="157">
        <f>'Absolute Volume'!I159/'Energy data by fuel cycle'!$G$13</f>
        <v>0</v>
      </c>
      <c r="J159" s="157">
        <f>'Absolute Volume'!J159/'Energy data by fuel cycle'!$G$13</f>
        <v>0</v>
      </c>
      <c r="K159" s="158">
        <f>'Absolute Volume'!K159/'Energy data by fuel cycle'!$G$13</f>
        <v>4.7308162101221875E-3</v>
      </c>
      <c r="L159" s="158">
        <f>'Absolute Volume'!L159/'Energy data by fuel cycle'!$G$13</f>
        <v>6.9581204552324324E-3</v>
      </c>
      <c r="M159" s="157">
        <f>'Absolute Volume'!M159/'Energy data by fuel cycle'!$G$13</f>
        <v>0</v>
      </c>
      <c r="N159" s="157">
        <f>'Absolute Volume'!N159/'Energy data by fuel cycle'!$G$13</f>
        <v>0</v>
      </c>
      <c r="O159" s="157">
        <f>'Absolute Volume'!O159/'Energy data by fuel cycle'!$G$13</f>
        <v>0</v>
      </c>
      <c r="P159" s="157">
        <f>'Absolute Volume'!P159/'Energy data by fuel cycle'!$G$13</f>
        <v>0</v>
      </c>
      <c r="Q159" s="78">
        <f>'Absolute Volume'!Q159/'Energy data by fuel cycle'!$G$13</f>
        <v>4.7308162101221875E-3</v>
      </c>
      <c r="R159" s="132">
        <f>'Absolute Volume'!R159/'Energy data by fuel cycle'!$G$13</f>
        <v>6.9581204552324324E-3</v>
      </c>
      <c r="S159" s="159">
        <f>'Absolute Volume'!S159/'Energy data by fuel cycle'!$G$13</f>
        <v>0</v>
      </c>
      <c r="T159" s="77"/>
    </row>
    <row r="160" spans="1:20" s="11" customFormat="1" ht="14" customHeight="1">
      <c r="A160" s="77"/>
      <c r="B160" s="755"/>
      <c r="C160" s="150" t="s">
        <v>10</v>
      </c>
      <c r="D160" s="134" t="s">
        <v>7</v>
      </c>
      <c r="E160" s="476">
        <f>'Absolute Volume'!E160/'Energy data by fuel cycle'!$G$13</f>
        <v>0</v>
      </c>
      <c r="F160" s="157">
        <f>'Absolute Volume'!F160/'Energy data by fuel cycle'!$G$13</f>
        <v>0</v>
      </c>
      <c r="G160" s="157">
        <f>'Absolute Volume'!G160/'Energy data by fuel cycle'!$G$13</f>
        <v>0</v>
      </c>
      <c r="H160" s="157">
        <f>'Absolute Volume'!H160/'Energy data by fuel cycle'!$G$13</f>
        <v>0</v>
      </c>
      <c r="I160" s="157">
        <f>'Absolute Volume'!I160/'Energy data by fuel cycle'!$G$13</f>
        <v>0</v>
      </c>
      <c r="J160" s="157">
        <f>'Absolute Volume'!J160/'Energy data by fuel cycle'!$G$13</f>
        <v>0</v>
      </c>
      <c r="K160" s="158">
        <f>'Absolute Volume'!K160/'Energy data by fuel cycle'!$G$13</f>
        <v>2.4864082123973459E-4</v>
      </c>
      <c r="L160" s="158">
        <f>'Absolute Volume'!L160/'Energy data by fuel cycle'!$G$13</f>
        <v>2.8662839438716326E-3</v>
      </c>
      <c r="M160" s="157">
        <f>'Absolute Volume'!M160/'Energy data by fuel cycle'!$G$13</f>
        <v>0</v>
      </c>
      <c r="N160" s="157">
        <f>'Absolute Volume'!N160/'Energy data by fuel cycle'!$G$13</f>
        <v>0</v>
      </c>
      <c r="O160" s="157">
        <f>'Absolute Volume'!O160/'Energy data by fuel cycle'!$G$13</f>
        <v>0</v>
      </c>
      <c r="P160" s="157">
        <f>'Absolute Volume'!P160/'Energy data by fuel cycle'!$G$13</f>
        <v>0</v>
      </c>
      <c r="Q160" s="78">
        <f>'Absolute Volume'!Q160/'Energy data by fuel cycle'!$G$13</f>
        <v>2.4864082123973459E-4</v>
      </c>
      <c r="R160" s="132">
        <f>'Absolute Volume'!R160/'Energy data by fuel cycle'!$G$13</f>
        <v>2.8662839438716326E-3</v>
      </c>
      <c r="S160" s="159">
        <f>'Absolute Volume'!S160/'Energy data by fuel cycle'!$G$13</f>
        <v>0</v>
      </c>
      <c r="T160" s="77"/>
    </row>
    <row r="161" spans="1:20" s="11" customFormat="1" ht="14" customHeight="1">
      <c r="A161" s="77"/>
      <c r="B161" s="755"/>
      <c r="C161" s="150" t="s">
        <v>10</v>
      </c>
      <c r="D161" s="135" t="s">
        <v>1</v>
      </c>
      <c r="E161" s="476">
        <f>'Absolute Volume'!E161/'Energy data by fuel cycle'!$G$13</f>
        <v>8.5935093404780583E-4</v>
      </c>
      <c r="F161" s="157">
        <f>'Absolute Volume'!F161/'Energy data by fuel cycle'!$G$13</f>
        <v>0</v>
      </c>
      <c r="G161" s="157">
        <f>'Absolute Volume'!G161/'Energy data by fuel cycle'!$G$13</f>
        <v>0</v>
      </c>
      <c r="H161" s="157">
        <f>'Absolute Volume'!H161/'Energy data by fuel cycle'!$G$13</f>
        <v>0</v>
      </c>
      <c r="I161" s="157">
        <f>'Absolute Volume'!I161/'Energy data by fuel cycle'!$G$13</f>
        <v>0</v>
      </c>
      <c r="J161" s="157">
        <f>'Absolute Volume'!J161/'Energy data by fuel cycle'!$G$13</f>
        <v>0</v>
      </c>
      <c r="K161" s="158">
        <f>'Absolute Volume'!K161/'Energy data by fuel cycle'!$G$13</f>
        <v>2.2863379387485898E-4</v>
      </c>
      <c r="L161" s="158">
        <f>'Absolute Volume'!L161/'Energy data by fuel cycle'!$G$13</f>
        <v>3.337501820046343E-3</v>
      </c>
      <c r="M161" s="157">
        <f>'Absolute Volume'!M161/'Energy data by fuel cycle'!$G$13</f>
        <v>0</v>
      </c>
      <c r="N161" s="157">
        <f>'Absolute Volume'!N161/'Energy data by fuel cycle'!$G$13</f>
        <v>0</v>
      </c>
      <c r="O161" s="157">
        <f>'Absolute Volume'!O161/'Energy data by fuel cycle'!$G$13</f>
        <v>0</v>
      </c>
      <c r="P161" s="157">
        <f>'Absolute Volume'!P161/'Energy data by fuel cycle'!$G$13</f>
        <v>0</v>
      </c>
      <c r="Q161" s="78">
        <f>'Absolute Volume'!Q161/'Energy data by fuel cycle'!$G$13</f>
        <v>1.0879847279226648E-3</v>
      </c>
      <c r="R161" s="132">
        <f>'Absolute Volume'!R161/'Energy data by fuel cycle'!$G$13</f>
        <v>3.337501820046343E-3</v>
      </c>
      <c r="S161" s="159">
        <f>'Absolute Volume'!S161/'Energy data by fuel cycle'!$G$13</f>
        <v>0</v>
      </c>
      <c r="T161" s="77"/>
    </row>
    <row r="162" spans="1:20" s="11" customFormat="1" ht="14" customHeight="1" thickBot="1">
      <c r="A162" s="77"/>
      <c r="B162" s="755"/>
      <c r="C162" s="150" t="s">
        <v>10</v>
      </c>
      <c r="D162" s="166" t="s">
        <v>13</v>
      </c>
      <c r="E162" s="476">
        <f>'Absolute Volume'!E162/'Energy data by fuel cycle'!$G$13</f>
        <v>0</v>
      </c>
      <c r="F162" s="157">
        <f>'Absolute Volume'!F162/'Energy data by fuel cycle'!$G$13</f>
        <v>0</v>
      </c>
      <c r="G162" s="157">
        <f>'Absolute Volume'!G162/'Energy data by fuel cycle'!$G$13</f>
        <v>0</v>
      </c>
      <c r="H162" s="157">
        <f>'Absolute Volume'!H162/'Energy data by fuel cycle'!$G$13</f>
        <v>0</v>
      </c>
      <c r="I162" s="157">
        <f>'Absolute Volume'!I162/'Energy data by fuel cycle'!$G$13</f>
        <v>0</v>
      </c>
      <c r="J162" s="157">
        <f>'Absolute Volume'!J162/'Energy data by fuel cycle'!$G$13</f>
        <v>0</v>
      </c>
      <c r="K162" s="158">
        <f>'Absolute Volume'!K162/'Energy data by fuel cycle'!$G$13</f>
        <v>0</v>
      </c>
      <c r="L162" s="158">
        <f>'Absolute Volume'!L162/'Energy data by fuel cycle'!$G$13</f>
        <v>0</v>
      </c>
      <c r="M162" s="157">
        <f>'Absolute Volume'!M162/'Energy data by fuel cycle'!$G$13</f>
        <v>0</v>
      </c>
      <c r="N162" s="157">
        <f>'Absolute Volume'!N162/'Energy data by fuel cycle'!$G$13</f>
        <v>0</v>
      </c>
      <c r="O162" s="157">
        <f>'Absolute Volume'!O162/'Energy data by fuel cycle'!$G$13</f>
        <v>0</v>
      </c>
      <c r="P162" s="157">
        <f>'Absolute Volume'!P162/'Energy data by fuel cycle'!$G$13</f>
        <v>0</v>
      </c>
      <c r="Q162" s="78">
        <f>'Absolute Volume'!Q162/'Energy data by fuel cycle'!$G$13</f>
        <v>0</v>
      </c>
      <c r="R162" s="132">
        <f>'Absolute Volume'!R162/'Energy data by fuel cycle'!$G$13</f>
        <v>0</v>
      </c>
      <c r="S162" s="159">
        <f>'Absolute Volume'!S162/'Energy data by fuel cycle'!$G$13</f>
        <v>0</v>
      </c>
      <c r="T162" s="77"/>
    </row>
    <row r="163" spans="1:20" s="11" customFormat="1" ht="30" customHeight="1" thickBot="1">
      <c r="A163" s="77"/>
      <c r="B163" s="784" t="s">
        <v>28</v>
      </c>
      <c r="C163" s="785"/>
      <c r="D163" s="785"/>
      <c r="E163" s="785"/>
      <c r="F163" s="785"/>
      <c r="G163" s="785"/>
      <c r="H163" s="785"/>
      <c r="I163" s="785"/>
      <c r="J163" s="785"/>
      <c r="K163" s="785"/>
      <c r="L163" s="785"/>
      <c r="M163" s="785"/>
      <c r="N163" s="785"/>
      <c r="O163" s="785"/>
      <c r="P163" s="785"/>
      <c r="Q163" s="785"/>
      <c r="R163" s="785"/>
      <c r="S163" s="786"/>
      <c r="T163" s="77"/>
    </row>
    <row r="164" spans="1:20" s="11" customFormat="1" ht="14" customHeight="1">
      <c r="A164" s="77"/>
      <c r="B164" s="755" t="s">
        <v>856</v>
      </c>
      <c r="C164" s="120"/>
      <c r="D164" s="156"/>
      <c r="E164" s="759" t="s">
        <v>591</v>
      </c>
      <c r="F164" s="760"/>
      <c r="G164" s="756" t="s">
        <v>66</v>
      </c>
      <c r="H164" s="756"/>
      <c r="I164" s="742" t="s">
        <v>67</v>
      </c>
      <c r="J164" s="742"/>
      <c r="K164" s="743" t="s">
        <v>68</v>
      </c>
      <c r="L164" s="743"/>
      <c r="M164" s="744" t="s">
        <v>69</v>
      </c>
      <c r="N164" s="744"/>
      <c r="O164" s="745" t="s">
        <v>413</v>
      </c>
      <c r="P164" s="745"/>
      <c r="Q164" s="121" t="s">
        <v>763</v>
      </c>
      <c r="R164" s="122" t="s">
        <v>763</v>
      </c>
      <c r="S164" s="123" t="s">
        <v>763</v>
      </c>
      <c r="T164" s="77"/>
    </row>
    <row r="165" spans="1:20" s="11" customFormat="1" ht="14" customHeight="1">
      <c r="A165" s="77"/>
      <c r="B165" s="755"/>
      <c r="C165" s="120"/>
      <c r="D165" s="156"/>
      <c r="E165" s="469" t="s">
        <v>209</v>
      </c>
      <c r="F165" s="414" t="s">
        <v>208</v>
      </c>
      <c r="G165" s="414" t="s">
        <v>209</v>
      </c>
      <c r="H165" s="414" t="s">
        <v>208</v>
      </c>
      <c r="I165" s="414" t="s">
        <v>209</v>
      </c>
      <c r="J165" s="414" t="s">
        <v>208</v>
      </c>
      <c r="K165" s="414" t="s">
        <v>209</v>
      </c>
      <c r="L165" s="414" t="s">
        <v>208</v>
      </c>
      <c r="M165" s="414" t="s">
        <v>209</v>
      </c>
      <c r="N165" s="414" t="s">
        <v>208</v>
      </c>
      <c r="O165" s="414" t="s">
        <v>209</v>
      </c>
      <c r="P165" s="414" t="s">
        <v>208</v>
      </c>
      <c r="Q165" s="121" t="s">
        <v>209</v>
      </c>
      <c r="R165" s="468" t="s">
        <v>208</v>
      </c>
      <c r="S165" s="123" t="s">
        <v>413</v>
      </c>
      <c r="T165" s="77"/>
    </row>
    <row r="166" spans="1:20" s="11" customFormat="1" ht="28" customHeight="1">
      <c r="A166" s="77"/>
      <c r="B166" s="755"/>
      <c r="C166" s="124" t="s">
        <v>761</v>
      </c>
      <c r="D166" s="125" t="s">
        <v>762</v>
      </c>
      <c r="E166" s="126">
        <f t="shared" ref="E166:S166" si="10">SUM(E167:E178)</f>
        <v>1.4139553432537038E-3</v>
      </c>
      <c r="F166" s="126">
        <f t="shared" si="10"/>
        <v>1.4139553432537038E-3</v>
      </c>
      <c r="G166" s="126">
        <f t="shared" si="10"/>
        <v>2.512108819301819E-3</v>
      </c>
      <c r="H166" s="126">
        <f t="shared" si="10"/>
        <v>2.8215391488493153E-3</v>
      </c>
      <c r="I166" s="126">
        <f t="shared" si="10"/>
        <v>0</v>
      </c>
      <c r="J166" s="126">
        <f t="shared" si="10"/>
        <v>0</v>
      </c>
      <c r="K166" s="126">
        <f t="shared" si="10"/>
        <v>0.59895724449079468</v>
      </c>
      <c r="L166" s="126">
        <f t="shared" si="10"/>
        <v>25.908240599133208</v>
      </c>
      <c r="M166" s="126">
        <f t="shared" si="10"/>
        <v>3.3101870438025389E-3</v>
      </c>
      <c r="N166" s="126">
        <f t="shared" si="10"/>
        <v>3.3101870438025389E-3</v>
      </c>
      <c r="O166" s="126">
        <f t="shared" si="10"/>
        <v>0</v>
      </c>
      <c r="P166" s="126">
        <f t="shared" si="10"/>
        <v>0</v>
      </c>
      <c r="Q166" s="79">
        <f t="shared" si="10"/>
        <v>0.60619349569715275</v>
      </c>
      <c r="R166" s="127">
        <f t="shared" si="10"/>
        <v>25.91578628066911</v>
      </c>
      <c r="S166" s="128">
        <f t="shared" si="10"/>
        <v>0</v>
      </c>
      <c r="T166" s="77"/>
    </row>
    <row r="167" spans="1:20" s="11" customFormat="1" ht="14" customHeight="1">
      <c r="A167" s="77"/>
      <c r="B167" s="755"/>
      <c r="C167" s="142" t="s">
        <v>9</v>
      </c>
      <c r="D167" s="143" t="s">
        <v>0</v>
      </c>
      <c r="E167" s="475">
        <f>'Absolute Volume'!E167/'Energy data by fuel cycle'!$G$14</f>
        <v>1.4139553432537038E-3</v>
      </c>
      <c r="F167" s="157">
        <f>'Absolute Volume'!F167/'Energy data by fuel cycle'!$G$14</f>
        <v>1.4139553432537038E-3</v>
      </c>
      <c r="G167" s="157">
        <f>'Absolute Volume'!G167/'Energy data by fuel cycle'!$G$14</f>
        <v>2.2663352925093054E-3</v>
      </c>
      <c r="H167" s="157">
        <f>'Absolute Volume'!H167/'Energy data by fuel cycle'!$G$14</f>
        <v>2.2663352925093054E-3</v>
      </c>
      <c r="I167" s="157">
        <f>'Absolute Volume'!I167/'Energy data by fuel cycle'!$G$14</f>
        <v>0</v>
      </c>
      <c r="J167" s="157">
        <f>'Absolute Volume'!J167/'Energy data by fuel cycle'!$G$14</f>
        <v>0</v>
      </c>
      <c r="K167" s="158">
        <f>'Absolute Volume'!K167/'Energy data by fuel cycle'!$G$14</f>
        <v>1.1865690726748316E-2</v>
      </c>
      <c r="L167" s="158">
        <f>'Absolute Volume'!L167/'Energy data by fuel cycle'!$G$14</f>
        <v>1.7592093584251206E-2</v>
      </c>
      <c r="M167" s="157">
        <f>'Absolute Volume'!M167/'Energy data by fuel cycle'!$G$14</f>
        <v>2.1808916134216972E-7</v>
      </c>
      <c r="N167" s="157">
        <f>'Absolute Volume'!N167/'Energy data by fuel cycle'!$G$14</f>
        <v>2.1808916134216972E-7</v>
      </c>
      <c r="O167" s="157">
        <f>'Absolute Volume'!O167/'Energy data by fuel cycle'!$G$14</f>
        <v>0</v>
      </c>
      <c r="P167" s="157">
        <f>'Absolute Volume'!P167/'Energy data by fuel cycle'!$G$14</f>
        <v>0</v>
      </c>
      <c r="Q167" s="78">
        <f>'Absolute Volume'!Q167/'Energy data by fuel cycle'!$G$14</f>
        <v>1.5546199451672668E-2</v>
      </c>
      <c r="R167" s="132">
        <f>'Absolute Volume'!R167/'Energy data by fuel cycle'!$G$14</f>
        <v>2.1272602309175555E-2</v>
      </c>
      <c r="S167" s="159">
        <f>'Absolute Volume'!S167/'Energy data by fuel cycle'!$G$14</f>
        <v>0</v>
      </c>
      <c r="T167" s="77"/>
    </row>
    <row r="168" spans="1:20" s="11" customFormat="1" ht="14" customHeight="1">
      <c r="A168" s="77"/>
      <c r="B168" s="755"/>
      <c r="C168" s="142" t="s">
        <v>9</v>
      </c>
      <c r="D168" s="134" t="s">
        <v>7</v>
      </c>
      <c r="E168" s="476">
        <f>'Absolute Volume'!E168/'Energy data by fuel cycle'!$G$14</f>
        <v>0</v>
      </c>
      <c r="F168" s="157">
        <f>'Absolute Volume'!F168/'Energy data by fuel cycle'!$G$14</f>
        <v>0</v>
      </c>
      <c r="G168" s="157">
        <f>'Absolute Volume'!G168/'Energy data by fuel cycle'!$G$14</f>
        <v>0</v>
      </c>
      <c r="H168" s="157">
        <f>'Absolute Volume'!H168/'Energy data by fuel cycle'!$G$14</f>
        <v>0</v>
      </c>
      <c r="I168" s="157">
        <f>'Absolute Volume'!I168/'Energy data by fuel cycle'!$G$14</f>
        <v>0</v>
      </c>
      <c r="J168" s="157">
        <f>'Absolute Volume'!J168/'Energy data by fuel cycle'!$G$14</f>
        <v>0</v>
      </c>
      <c r="K168" s="158">
        <f>'Absolute Volume'!K168/'Energy data by fuel cycle'!$G$14</f>
        <v>0</v>
      </c>
      <c r="L168" s="158">
        <f>'Absolute Volume'!L168/'Energy data by fuel cycle'!$G$14</f>
        <v>0</v>
      </c>
      <c r="M168" s="157">
        <f>'Absolute Volume'!M168/'Energy data by fuel cycle'!$G$14</f>
        <v>0</v>
      </c>
      <c r="N168" s="157">
        <f>'Absolute Volume'!N168/'Energy data by fuel cycle'!$G$14</f>
        <v>0</v>
      </c>
      <c r="O168" s="157">
        <f>'Absolute Volume'!O168/'Energy data by fuel cycle'!$G$14</f>
        <v>0</v>
      </c>
      <c r="P168" s="157">
        <f>'Absolute Volume'!P168/'Energy data by fuel cycle'!$G$14</f>
        <v>0</v>
      </c>
      <c r="Q168" s="78">
        <f>'Absolute Volume'!Q168/'Energy data by fuel cycle'!$G$14</f>
        <v>0</v>
      </c>
      <c r="R168" s="132">
        <f>'Absolute Volume'!R168/'Energy data by fuel cycle'!$G$14</f>
        <v>0</v>
      </c>
      <c r="S168" s="159">
        <f>'Absolute Volume'!S168/'Energy data by fuel cycle'!$G$14</f>
        <v>0</v>
      </c>
      <c r="T168" s="77"/>
    </row>
    <row r="169" spans="1:20" s="11" customFormat="1" ht="14" customHeight="1">
      <c r="A169" s="77"/>
      <c r="B169" s="755"/>
      <c r="C169" s="142" t="s">
        <v>9</v>
      </c>
      <c r="D169" s="135" t="s">
        <v>1</v>
      </c>
      <c r="E169" s="476">
        <f>'Absolute Volume'!E169/'Energy data by fuel cycle'!$G$14</f>
        <v>0</v>
      </c>
      <c r="F169" s="157">
        <f>'Absolute Volume'!F169/'Energy data by fuel cycle'!$G$14</f>
        <v>0</v>
      </c>
      <c r="G169" s="157">
        <f>'Absolute Volume'!G169/'Energy data by fuel cycle'!$G$14</f>
        <v>0</v>
      </c>
      <c r="H169" s="157">
        <f>'Absolute Volume'!H169/'Energy data by fuel cycle'!$G$14</f>
        <v>0</v>
      </c>
      <c r="I169" s="157">
        <f>'Absolute Volume'!I169/'Energy data by fuel cycle'!$G$14</f>
        <v>0</v>
      </c>
      <c r="J169" s="157">
        <f>'Absolute Volume'!J169/'Energy data by fuel cycle'!$G$14</f>
        <v>0</v>
      </c>
      <c r="K169" s="158">
        <f>'Absolute Volume'!K169/'Energy data by fuel cycle'!$G$14</f>
        <v>0</v>
      </c>
      <c r="L169" s="158">
        <f>'Absolute Volume'!L169/'Energy data by fuel cycle'!$G$14</f>
        <v>0</v>
      </c>
      <c r="M169" s="157">
        <f>'Absolute Volume'!M169/'Energy data by fuel cycle'!$G$14</f>
        <v>0</v>
      </c>
      <c r="N169" s="157">
        <f>'Absolute Volume'!N169/'Energy data by fuel cycle'!$G$14</f>
        <v>0</v>
      </c>
      <c r="O169" s="157">
        <f>'Absolute Volume'!O169/'Energy data by fuel cycle'!$G$14</f>
        <v>0</v>
      </c>
      <c r="P169" s="157">
        <f>'Absolute Volume'!P169/'Energy data by fuel cycle'!$G$14</f>
        <v>0</v>
      </c>
      <c r="Q169" s="78">
        <f>'Absolute Volume'!Q169/'Energy data by fuel cycle'!$G$14</f>
        <v>0</v>
      </c>
      <c r="R169" s="132">
        <f>'Absolute Volume'!R169/'Energy data by fuel cycle'!$G$14</f>
        <v>0</v>
      </c>
      <c r="S169" s="159">
        <f>'Absolute Volume'!S169/'Energy data by fuel cycle'!$G$14</f>
        <v>0</v>
      </c>
      <c r="T169" s="77"/>
    </row>
    <row r="170" spans="1:20" s="11" customFormat="1" ht="14" customHeight="1">
      <c r="A170" s="77"/>
      <c r="B170" s="755"/>
      <c r="C170" s="144" t="s">
        <v>9</v>
      </c>
      <c r="D170" s="145" t="s">
        <v>13</v>
      </c>
      <c r="E170" s="477">
        <f>'Absolute Volume'!E170/'Energy data by fuel cycle'!$G$14</f>
        <v>0</v>
      </c>
      <c r="F170" s="163">
        <f>'Absolute Volume'!F170/'Energy data by fuel cycle'!$G$14</f>
        <v>0</v>
      </c>
      <c r="G170" s="163">
        <f>'Absolute Volume'!G170/'Energy data by fuel cycle'!$G$14</f>
        <v>0</v>
      </c>
      <c r="H170" s="163">
        <f>'Absolute Volume'!H170/'Energy data by fuel cycle'!$G$14</f>
        <v>0</v>
      </c>
      <c r="I170" s="163">
        <f>'Absolute Volume'!I170/'Energy data by fuel cycle'!$G$14</f>
        <v>0</v>
      </c>
      <c r="J170" s="163">
        <f>'Absolute Volume'!J170/'Energy data by fuel cycle'!$G$14</f>
        <v>0</v>
      </c>
      <c r="K170" s="164">
        <f>'Absolute Volume'!K170/'Energy data by fuel cycle'!$G$14</f>
        <v>0</v>
      </c>
      <c r="L170" s="164">
        <f>'Absolute Volume'!L170/'Energy data by fuel cycle'!$G$14</f>
        <v>0</v>
      </c>
      <c r="M170" s="163">
        <f>'Absolute Volume'!M170/'Energy data by fuel cycle'!$G$14</f>
        <v>0</v>
      </c>
      <c r="N170" s="163">
        <f>'Absolute Volume'!N170/'Energy data by fuel cycle'!$G$14</f>
        <v>0</v>
      </c>
      <c r="O170" s="163">
        <f>'Absolute Volume'!O170/'Energy data by fuel cycle'!$G$14</f>
        <v>0</v>
      </c>
      <c r="P170" s="163">
        <f>'Absolute Volume'!P170/'Energy data by fuel cycle'!$G$14</f>
        <v>0</v>
      </c>
      <c r="Q170" s="147">
        <f>'Absolute Volume'!Q170/'Energy data by fuel cycle'!$G$14</f>
        <v>0</v>
      </c>
      <c r="R170" s="148">
        <f>'Absolute Volume'!R170/'Energy data by fuel cycle'!$G$14</f>
        <v>0</v>
      </c>
      <c r="S170" s="165">
        <f>'Absolute Volume'!S170/'Energy data by fuel cycle'!$G$14</f>
        <v>0</v>
      </c>
      <c r="T170" s="77"/>
    </row>
    <row r="171" spans="1:20" s="11" customFormat="1" ht="14" customHeight="1">
      <c r="A171" s="77"/>
      <c r="B171" s="755"/>
      <c r="C171" s="129" t="s">
        <v>8</v>
      </c>
      <c r="D171" s="130" t="s">
        <v>0</v>
      </c>
      <c r="E171" s="476">
        <f>'Absolute Volume'!E171/'Energy data by fuel cycle'!$G$14</f>
        <v>0</v>
      </c>
      <c r="F171" s="157">
        <f>'Absolute Volume'!F171/'Energy data by fuel cycle'!$G$14</f>
        <v>0</v>
      </c>
      <c r="G171" s="157">
        <f>'Absolute Volume'!G171/'Energy data by fuel cycle'!$G$14</f>
        <v>2.4577352679251344E-4</v>
      </c>
      <c r="H171" s="157">
        <f>'Absolute Volume'!H171/'Energy data by fuel cycle'!$G$14</f>
        <v>5.5520385634001018E-4</v>
      </c>
      <c r="I171" s="157">
        <f>'Absolute Volume'!I171/'Energy data by fuel cycle'!$G$14</f>
        <v>0</v>
      </c>
      <c r="J171" s="157">
        <f>'Absolute Volume'!J171/'Energy data by fuel cycle'!$G$14</f>
        <v>0</v>
      </c>
      <c r="K171" s="158">
        <f>'Absolute Volume'!K171/'Energy data by fuel cycle'!$G$14</f>
        <v>0.4644560065332014</v>
      </c>
      <c r="L171" s="158">
        <f>'Absolute Volume'!L171/'Energy data by fuel cycle'!$G$14</f>
        <v>18.65822795050455</v>
      </c>
      <c r="M171" s="157">
        <f>'Absolute Volume'!M171/'Energy data by fuel cycle'!$G$14</f>
        <v>3.3099689546411968E-3</v>
      </c>
      <c r="N171" s="157">
        <f>'Absolute Volume'!N171/'Energy data by fuel cycle'!$G$14</f>
        <v>3.3099689546411968E-3</v>
      </c>
      <c r="O171" s="157">
        <f>'Absolute Volume'!O171/'Energy data by fuel cycle'!$G$14</f>
        <v>0</v>
      </c>
      <c r="P171" s="157">
        <f>'Absolute Volume'!P171/'Energy data by fuel cycle'!$G$14</f>
        <v>0</v>
      </c>
      <c r="Q171" s="78">
        <f>'Absolute Volume'!Q171/'Energy data by fuel cycle'!$G$14</f>
        <v>0.4680117490146351</v>
      </c>
      <c r="R171" s="132">
        <f>'Absolute Volume'!R171/'Energy data by fuel cycle'!$G$14</f>
        <v>18.662093123315529</v>
      </c>
      <c r="S171" s="159">
        <f>'Absolute Volume'!S171/'Energy data by fuel cycle'!$G$14</f>
        <v>0</v>
      </c>
      <c r="T171" s="77"/>
    </row>
    <row r="172" spans="1:20" s="11" customFormat="1" ht="14" customHeight="1">
      <c r="A172" s="77"/>
      <c r="B172" s="755"/>
      <c r="C172" s="129" t="s">
        <v>8</v>
      </c>
      <c r="D172" s="134" t="s">
        <v>7</v>
      </c>
      <c r="E172" s="476">
        <f>'Absolute Volume'!E172/'Energy data by fuel cycle'!$G$14</f>
        <v>0</v>
      </c>
      <c r="F172" s="157">
        <f>'Absolute Volume'!F172/'Energy data by fuel cycle'!$G$14</f>
        <v>0</v>
      </c>
      <c r="G172" s="157">
        <f>'Absolute Volume'!G172/'Energy data by fuel cycle'!$G$14</f>
        <v>0</v>
      </c>
      <c r="H172" s="157">
        <f>'Absolute Volume'!H172/'Energy data by fuel cycle'!$G$14</f>
        <v>0</v>
      </c>
      <c r="I172" s="157">
        <f>'Absolute Volume'!I172/'Energy data by fuel cycle'!$G$14</f>
        <v>0</v>
      </c>
      <c r="J172" s="157">
        <f>'Absolute Volume'!J172/'Energy data by fuel cycle'!$G$14</f>
        <v>0</v>
      </c>
      <c r="K172" s="158">
        <f>'Absolute Volume'!K172/'Energy data by fuel cycle'!$G$14</f>
        <v>3.5213987727468442E-2</v>
      </c>
      <c r="L172" s="158">
        <f>'Absolute Volume'!L172/'Energy data by fuel cycle'!$G$14</f>
        <v>2.4406084510932242</v>
      </c>
      <c r="M172" s="157">
        <f>'Absolute Volume'!M172/'Energy data by fuel cycle'!$G$14</f>
        <v>0</v>
      </c>
      <c r="N172" s="157">
        <f>'Absolute Volume'!N172/'Energy data by fuel cycle'!$G$14</f>
        <v>0</v>
      </c>
      <c r="O172" s="157">
        <f>'Absolute Volume'!O172/'Energy data by fuel cycle'!$G$14</f>
        <v>0</v>
      </c>
      <c r="P172" s="157">
        <f>'Absolute Volume'!P172/'Energy data by fuel cycle'!$G$14</f>
        <v>0</v>
      </c>
      <c r="Q172" s="78">
        <f>'Absolute Volume'!Q172/'Energy data by fuel cycle'!$G$14</f>
        <v>3.5213987727468442E-2</v>
      </c>
      <c r="R172" s="132">
        <f>'Absolute Volume'!R172/'Energy data by fuel cycle'!$G$14</f>
        <v>2.4406084510932242</v>
      </c>
      <c r="S172" s="159">
        <f>'Absolute Volume'!S172/'Energy data by fuel cycle'!$G$14</f>
        <v>0</v>
      </c>
      <c r="T172" s="77"/>
    </row>
    <row r="173" spans="1:20" s="11" customFormat="1" ht="14" customHeight="1">
      <c r="A173" s="77"/>
      <c r="B173" s="755"/>
      <c r="C173" s="129" t="s">
        <v>8</v>
      </c>
      <c r="D173" s="135" t="s">
        <v>1</v>
      </c>
      <c r="E173" s="476">
        <f>'Absolute Volume'!E173/'Energy data by fuel cycle'!$G$14</f>
        <v>0</v>
      </c>
      <c r="F173" s="157">
        <f>'Absolute Volume'!F173/'Energy data by fuel cycle'!$G$14</f>
        <v>0</v>
      </c>
      <c r="G173" s="157">
        <f>'Absolute Volume'!G173/'Energy data by fuel cycle'!$G$14</f>
        <v>0</v>
      </c>
      <c r="H173" s="157">
        <f>'Absolute Volume'!H173/'Energy data by fuel cycle'!$G$14</f>
        <v>0</v>
      </c>
      <c r="I173" s="157">
        <f>'Absolute Volume'!I173/'Energy data by fuel cycle'!$G$14</f>
        <v>0</v>
      </c>
      <c r="J173" s="157">
        <f>'Absolute Volume'!J173/'Energy data by fuel cycle'!$G$14</f>
        <v>0</v>
      </c>
      <c r="K173" s="158">
        <f>'Absolute Volume'!K173/'Energy data by fuel cycle'!$G$14</f>
        <v>4.2779730071449022E-2</v>
      </c>
      <c r="L173" s="158">
        <f>'Absolute Volume'!L173/'Energy data by fuel cycle'!$G$14</f>
        <v>4.4660977023904227</v>
      </c>
      <c r="M173" s="157">
        <f>'Absolute Volume'!M173/'Energy data by fuel cycle'!$G$14</f>
        <v>0</v>
      </c>
      <c r="N173" s="157">
        <f>'Absolute Volume'!N173/'Energy data by fuel cycle'!$G$14</f>
        <v>0</v>
      </c>
      <c r="O173" s="157">
        <f>'Absolute Volume'!O173/'Energy data by fuel cycle'!$G$14</f>
        <v>0</v>
      </c>
      <c r="P173" s="157">
        <f>'Absolute Volume'!P173/'Energy data by fuel cycle'!$G$14</f>
        <v>0</v>
      </c>
      <c r="Q173" s="78">
        <f>'Absolute Volume'!Q173/'Energy data by fuel cycle'!$G$14</f>
        <v>4.2779730071449022E-2</v>
      </c>
      <c r="R173" s="132">
        <f>'Absolute Volume'!R173/'Energy data by fuel cycle'!$G$14</f>
        <v>4.4660977023904227</v>
      </c>
      <c r="S173" s="159">
        <f>'Absolute Volume'!S173/'Energy data by fuel cycle'!$G$14</f>
        <v>0</v>
      </c>
      <c r="T173" s="77"/>
    </row>
    <row r="174" spans="1:20" s="11" customFormat="1" ht="14" customHeight="1">
      <c r="A174" s="77"/>
      <c r="B174" s="755"/>
      <c r="C174" s="136" t="s">
        <v>8</v>
      </c>
      <c r="D174" s="137" t="s">
        <v>13</v>
      </c>
      <c r="E174" s="478">
        <f>'Absolute Volume'!E174/'Energy data by fuel cycle'!$G$14</f>
        <v>0</v>
      </c>
      <c r="F174" s="160">
        <f>'Absolute Volume'!F174/'Energy data by fuel cycle'!$G$14</f>
        <v>0</v>
      </c>
      <c r="G174" s="160">
        <f>'Absolute Volume'!G174/'Energy data by fuel cycle'!$G$14</f>
        <v>0</v>
      </c>
      <c r="H174" s="160">
        <f>'Absolute Volume'!H174/'Energy data by fuel cycle'!$G$14</f>
        <v>0</v>
      </c>
      <c r="I174" s="160">
        <f>'Absolute Volume'!I174/'Energy data by fuel cycle'!$G$14</f>
        <v>0</v>
      </c>
      <c r="J174" s="160">
        <f>'Absolute Volume'!J174/'Energy data by fuel cycle'!$G$14</f>
        <v>0</v>
      </c>
      <c r="K174" s="161">
        <f>'Absolute Volume'!K174/'Energy data by fuel cycle'!$G$14</f>
        <v>0</v>
      </c>
      <c r="L174" s="161">
        <f>'Absolute Volume'!L174/'Energy data by fuel cycle'!$G$14</f>
        <v>0</v>
      </c>
      <c r="M174" s="160">
        <f>'Absolute Volume'!M174/'Energy data by fuel cycle'!$G$14</f>
        <v>0</v>
      </c>
      <c r="N174" s="160">
        <f>'Absolute Volume'!N174/'Energy data by fuel cycle'!$G$14</f>
        <v>0</v>
      </c>
      <c r="O174" s="160">
        <f>'Absolute Volume'!O174/'Energy data by fuel cycle'!$G$14</f>
        <v>0</v>
      </c>
      <c r="P174" s="160">
        <f>'Absolute Volume'!P174/'Energy data by fuel cycle'!$G$14</f>
        <v>0</v>
      </c>
      <c r="Q174" s="139">
        <f>'Absolute Volume'!Q174/'Energy data by fuel cycle'!$G$14</f>
        <v>0</v>
      </c>
      <c r="R174" s="140">
        <f>'Absolute Volume'!R174/'Energy data by fuel cycle'!$G$14</f>
        <v>0</v>
      </c>
      <c r="S174" s="162">
        <f>'Absolute Volume'!S174/'Energy data by fuel cycle'!$G$14</f>
        <v>0</v>
      </c>
      <c r="T174" s="77"/>
    </row>
    <row r="175" spans="1:20" s="11" customFormat="1" ht="14" customHeight="1">
      <c r="A175" s="77"/>
      <c r="B175" s="755"/>
      <c r="C175" s="150" t="s">
        <v>10</v>
      </c>
      <c r="D175" s="143" t="s">
        <v>0</v>
      </c>
      <c r="E175" s="476">
        <f>'Absolute Volume'!E175/'Energy data by fuel cycle'!$G$14</f>
        <v>0</v>
      </c>
      <c r="F175" s="157">
        <f>'Absolute Volume'!F175/'Energy data by fuel cycle'!$G$14</f>
        <v>0</v>
      </c>
      <c r="G175" s="157">
        <f>'Absolute Volume'!G175/'Energy data by fuel cycle'!$G$14</f>
        <v>0</v>
      </c>
      <c r="H175" s="157">
        <f>'Absolute Volume'!H175/'Energy data by fuel cycle'!$G$14</f>
        <v>0</v>
      </c>
      <c r="I175" s="157">
        <f>'Absolute Volume'!I175/'Energy data by fuel cycle'!$G$14</f>
        <v>0</v>
      </c>
      <c r="J175" s="157">
        <f>'Absolute Volume'!J175/'Energy data by fuel cycle'!$G$14</f>
        <v>0</v>
      </c>
      <c r="K175" s="158">
        <f>'Absolute Volume'!K175/'Energy data by fuel cycle'!$G$14</f>
        <v>3.8360600095428861E-2</v>
      </c>
      <c r="L175" s="158">
        <f>'Absolute Volume'!L175/'Energy data by fuel cycle'!$G$14</f>
        <v>0.23777884569874777</v>
      </c>
      <c r="M175" s="157">
        <f>'Absolute Volume'!M175/'Energy data by fuel cycle'!$G$14</f>
        <v>0</v>
      </c>
      <c r="N175" s="157">
        <f>'Absolute Volume'!N175/'Energy data by fuel cycle'!$G$14</f>
        <v>0</v>
      </c>
      <c r="O175" s="157">
        <f>'Absolute Volume'!O175/'Energy data by fuel cycle'!$G$14</f>
        <v>0</v>
      </c>
      <c r="P175" s="157">
        <f>'Absolute Volume'!P175/'Energy data by fuel cycle'!$G$14</f>
        <v>0</v>
      </c>
      <c r="Q175" s="78">
        <f>'Absolute Volume'!Q175/'Energy data by fuel cycle'!$G$14</f>
        <v>3.8360600095428861E-2</v>
      </c>
      <c r="R175" s="132">
        <f>'Absolute Volume'!R175/'Energy data by fuel cycle'!$G$14</f>
        <v>0.23777884569874777</v>
      </c>
      <c r="S175" s="159">
        <f>'Absolute Volume'!S175/'Energy data by fuel cycle'!$G$14</f>
        <v>0</v>
      </c>
      <c r="T175" s="77"/>
    </row>
    <row r="176" spans="1:20" s="11" customFormat="1" ht="14" customHeight="1">
      <c r="A176" s="77"/>
      <c r="B176" s="755"/>
      <c r="C176" s="150" t="s">
        <v>10</v>
      </c>
      <c r="D176" s="134" t="s">
        <v>7</v>
      </c>
      <c r="E176" s="476">
        <f>'Absolute Volume'!E176/'Energy data by fuel cycle'!$G$14</f>
        <v>0</v>
      </c>
      <c r="F176" s="157">
        <f>'Absolute Volume'!F176/'Energy data by fuel cycle'!$G$14</f>
        <v>0</v>
      </c>
      <c r="G176" s="157">
        <f>'Absolute Volume'!G176/'Energy data by fuel cycle'!$G$14</f>
        <v>0</v>
      </c>
      <c r="H176" s="157">
        <f>'Absolute Volume'!H176/'Energy data by fuel cycle'!$G$14</f>
        <v>0</v>
      </c>
      <c r="I176" s="157">
        <f>'Absolute Volume'!I176/'Energy data by fuel cycle'!$G$14</f>
        <v>0</v>
      </c>
      <c r="J176" s="157">
        <f>'Absolute Volume'!J176/'Energy data by fuel cycle'!$G$14</f>
        <v>0</v>
      </c>
      <c r="K176" s="158">
        <f>'Absolute Volume'!K176/'Energy data by fuel cycle'!$G$14</f>
        <v>2.8359608826333798E-3</v>
      </c>
      <c r="L176" s="158">
        <f>'Absolute Volume'!L176/'Energy data by fuel cycle'!$G$14</f>
        <v>3.107360527856649E-2</v>
      </c>
      <c r="M176" s="157">
        <f>'Absolute Volume'!M176/'Energy data by fuel cycle'!$G$14</f>
        <v>0</v>
      </c>
      <c r="N176" s="157">
        <f>'Absolute Volume'!N176/'Energy data by fuel cycle'!$G$14</f>
        <v>0</v>
      </c>
      <c r="O176" s="157">
        <f>'Absolute Volume'!O176/'Energy data by fuel cycle'!$G$14</f>
        <v>0</v>
      </c>
      <c r="P176" s="157">
        <f>'Absolute Volume'!P176/'Energy data by fuel cycle'!$G$14</f>
        <v>0</v>
      </c>
      <c r="Q176" s="78">
        <f>'Absolute Volume'!Q176/'Energy data by fuel cycle'!$G$14</f>
        <v>2.8359608826333798E-3</v>
      </c>
      <c r="R176" s="132">
        <f>'Absolute Volume'!R176/'Energy data by fuel cycle'!$G$14</f>
        <v>3.107360527856649E-2</v>
      </c>
      <c r="S176" s="159">
        <f>'Absolute Volume'!S176/'Energy data by fuel cycle'!$G$14</f>
        <v>0</v>
      </c>
      <c r="T176" s="77"/>
    </row>
    <row r="177" spans="1:20" s="11" customFormat="1" ht="14" customHeight="1">
      <c r="A177" s="77"/>
      <c r="B177" s="755"/>
      <c r="C177" s="150" t="s">
        <v>10</v>
      </c>
      <c r="D177" s="135" t="s">
        <v>1</v>
      </c>
      <c r="E177" s="476">
        <f>'Absolute Volume'!E177/'Energy data by fuel cycle'!$G$14</f>
        <v>0</v>
      </c>
      <c r="F177" s="157">
        <f>'Absolute Volume'!F177/'Energy data by fuel cycle'!$G$14</f>
        <v>0</v>
      </c>
      <c r="G177" s="157">
        <f>'Absolute Volume'!G177/'Energy data by fuel cycle'!$G$14</f>
        <v>0</v>
      </c>
      <c r="H177" s="157">
        <f>'Absolute Volume'!H177/'Energy data by fuel cycle'!$G$14</f>
        <v>0</v>
      </c>
      <c r="I177" s="157">
        <f>'Absolute Volume'!I177/'Energy data by fuel cycle'!$G$14</f>
        <v>0</v>
      </c>
      <c r="J177" s="157">
        <f>'Absolute Volume'!J177/'Energy data by fuel cycle'!$G$14</f>
        <v>0</v>
      </c>
      <c r="K177" s="158">
        <f>'Absolute Volume'!K177/'Energy data by fuel cycle'!$G$14</f>
        <v>3.4452684538652284E-3</v>
      </c>
      <c r="L177" s="158">
        <f>'Absolute Volume'!L177/'Energy data by fuel cycle'!$G$14</f>
        <v>5.686195058344154E-2</v>
      </c>
      <c r="M177" s="157">
        <f>'Absolute Volume'!M177/'Energy data by fuel cycle'!$G$14</f>
        <v>0</v>
      </c>
      <c r="N177" s="157">
        <f>'Absolute Volume'!N177/'Energy data by fuel cycle'!$G$14</f>
        <v>0</v>
      </c>
      <c r="O177" s="157">
        <f>'Absolute Volume'!O177/'Energy data by fuel cycle'!$G$14</f>
        <v>0</v>
      </c>
      <c r="P177" s="157">
        <f>'Absolute Volume'!P177/'Energy data by fuel cycle'!$G$14</f>
        <v>0</v>
      </c>
      <c r="Q177" s="78">
        <f>'Absolute Volume'!Q177/'Energy data by fuel cycle'!$G$14</f>
        <v>3.4452684538652284E-3</v>
      </c>
      <c r="R177" s="132">
        <f>'Absolute Volume'!R177/'Energy data by fuel cycle'!$G$14</f>
        <v>5.686195058344154E-2</v>
      </c>
      <c r="S177" s="159">
        <f>'Absolute Volume'!S177/'Energy data by fuel cycle'!$G$14</f>
        <v>0</v>
      </c>
      <c r="T177" s="77"/>
    </row>
    <row r="178" spans="1:20" s="11" customFormat="1" ht="14" customHeight="1" thickBot="1">
      <c r="A178" s="77"/>
      <c r="B178" s="755"/>
      <c r="C178" s="150" t="s">
        <v>10</v>
      </c>
      <c r="D178" s="166" t="s">
        <v>13</v>
      </c>
      <c r="E178" s="476">
        <f>'Absolute Volume'!E178/'Energy data by fuel cycle'!$G$14</f>
        <v>0</v>
      </c>
      <c r="F178" s="157">
        <f>'Absolute Volume'!F178/'Energy data by fuel cycle'!$G$14</f>
        <v>0</v>
      </c>
      <c r="G178" s="157">
        <f>'Absolute Volume'!G178/'Energy data by fuel cycle'!$G$14</f>
        <v>0</v>
      </c>
      <c r="H178" s="157">
        <f>'Absolute Volume'!H178/'Energy data by fuel cycle'!$G$14</f>
        <v>0</v>
      </c>
      <c r="I178" s="157">
        <f>'Absolute Volume'!I178/'Energy data by fuel cycle'!$G$14</f>
        <v>0</v>
      </c>
      <c r="J178" s="157">
        <f>'Absolute Volume'!J178/'Energy data by fuel cycle'!$G$14</f>
        <v>0</v>
      </c>
      <c r="K178" s="158">
        <f>'Absolute Volume'!K178/'Energy data by fuel cycle'!$G$14</f>
        <v>0</v>
      </c>
      <c r="L178" s="158">
        <f>'Absolute Volume'!L178/'Energy data by fuel cycle'!$G$14</f>
        <v>0</v>
      </c>
      <c r="M178" s="157">
        <f>'Absolute Volume'!M178/'Energy data by fuel cycle'!$G$14</f>
        <v>0</v>
      </c>
      <c r="N178" s="157">
        <f>'Absolute Volume'!N178/'Energy data by fuel cycle'!$G$14</f>
        <v>0</v>
      </c>
      <c r="O178" s="157">
        <f>'Absolute Volume'!O178/'Energy data by fuel cycle'!$G$14</f>
        <v>0</v>
      </c>
      <c r="P178" s="157">
        <f>'Absolute Volume'!P178/'Energy data by fuel cycle'!$G$14</f>
        <v>0</v>
      </c>
      <c r="Q178" s="78">
        <f>'Absolute Volume'!Q178/'Energy data by fuel cycle'!$G$14</f>
        <v>0</v>
      </c>
      <c r="R178" s="132">
        <f>'Absolute Volume'!R178/'Energy data by fuel cycle'!$G$14</f>
        <v>0</v>
      </c>
      <c r="S178" s="159">
        <f>'Absolute Volume'!S178/'Energy data by fuel cycle'!$G$14</f>
        <v>0</v>
      </c>
      <c r="T178" s="77"/>
    </row>
    <row r="179" spans="1:20" s="11" customFormat="1" ht="30" customHeight="1" thickBot="1">
      <c r="A179" s="77"/>
      <c r="B179" s="781" t="s">
        <v>29</v>
      </c>
      <c r="C179" s="782"/>
      <c r="D179" s="782"/>
      <c r="E179" s="782"/>
      <c r="F179" s="782"/>
      <c r="G179" s="782"/>
      <c r="H179" s="782"/>
      <c r="I179" s="782"/>
      <c r="J179" s="782"/>
      <c r="K179" s="782"/>
      <c r="L179" s="782"/>
      <c r="M179" s="782"/>
      <c r="N179" s="782"/>
      <c r="O179" s="782"/>
      <c r="P179" s="782"/>
      <c r="Q179" s="782"/>
      <c r="R179" s="782"/>
      <c r="S179" s="783"/>
      <c r="T179" s="77"/>
    </row>
    <row r="180" spans="1:20" s="11" customFormat="1" ht="14" customHeight="1">
      <c r="A180" s="77"/>
      <c r="B180" s="755" t="s">
        <v>856</v>
      </c>
      <c r="C180" s="120"/>
      <c r="D180" s="156"/>
      <c r="E180" s="759" t="s">
        <v>591</v>
      </c>
      <c r="F180" s="760"/>
      <c r="G180" s="756" t="s">
        <v>66</v>
      </c>
      <c r="H180" s="756"/>
      <c r="I180" s="742" t="s">
        <v>67</v>
      </c>
      <c r="J180" s="742"/>
      <c r="K180" s="743" t="s">
        <v>68</v>
      </c>
      <c r="L180" s="743"/>
      <c r="M180" s="744" t="s">
        <v>69</v>
      </c>
      <c r="N180" s="744"/>
      <c r="O180" s="745" t="s">
        <v>413</v>
      </c>
      <c r="P180" s="745"/>
      <c r="Q180" s="121" t="s">
        <v>763</v>
      </c>
      <c r="R180" s="122" t="s">
        <v>763</v>
      </c>
      <c r="S180" s="123" t="s">
        <v>763</v>
      </c>
      <c r="T180" s="77"/>
    </row>
    <row r="181" spans="1:20" s="11" customFormat="1" ht="14" customHeight="1">
      <c r="A181" s="77"/>
      <c r="B181" s="755"/>
      <c r="C181" s="120"/>
      <c r="D181" s="156"/>
      <c r="E181" s="469" t="s">
        <v>209</v>
      </c>
      <c r="F181" s="414" t="s">
        <v>208</v>
      </c>
      <c r="G181" s="414" t="s">
        <v>209</v>
      </c>
      <c r="H181" s="414" t="s">
        <v>208</v>
      </c>
      <c r="I181" s="414" t="s">
        <v>209</v>
      </c>
      <c r="J181" s="414" t="s">
        <v>208</v>
      </c>
      <c r="K181" s="414" t="s">
        <v>209</v>
      </c>
      <c r="L181" s="414" t="s">
        <v>208</v>
      </c>
      <c r="M181" s="414" t="s">
        <v>209</v>
      </c>
      <c r="N181" s="414" t="s">
        <v>208</v>
      </c>
      <c r="O181" s="414" t="s">
        <v>209</v>
      </c>
      <c r="P181" s="414" t="s">
        <v>208</v>
      </c>
      <c r="Q181" s="121" t="s">
        <v>209</v>
      </c>
      <c r="R181" s="468" t="s">
        <v>208</v>
      </c>
      <c r="S181" s="123" t="s">
        <v>413</v>
      </c>
      <c r="T181" s="77"/>
    </row>
    <row r="182" spans="1:20" s="11" customFormat="1" ht="28" customHeight="1">
      <c r="A182" s="77"/>
      <c r="B182" s="755"/>
      <c r="C182" s="124" t="s">
        <v>761</v>
      </c>
      <c r="D182" s="125" t="s">
        <v>762</v>
      </c>
      <c r="E182" s="126">
        <f t="shared" ref="E182:S182" si="11">SUM(E183:E194)</f>
        <v>2.6474617374230047</v>
      </c>
      <c r="F182" s="126">
        <f t="shared" si="11"/>
        <v>2.6474617374230047</v>
      </c>
      <c r="G182" s="126">
        <f t="shared" si="11"/>
        <v>0</v>
      </c>
      <c r="H182" s="126">
        <f t="shared" si="11"/>
        <v>0</v>
      </c>
      <c r="I182" s="126">
        <f t="shared" si="11"/>
        <v>0</v>
      </c>
      <c r="J182" s="126">
        <f t="shared" si="11"/>
        <v>0</v>
      </c>
      <c r="K182" s="126">
        <f t="shared" si="11"/>
        <v>0</v>
      </c>
      <c r="L182" s="126">
        <f t="shared" si="11"/>
        <v>22560.611224943637</v>
      </c>
      <c r="M182" s="126">
        <f t="shared" si="11"/>
        <v>0</v>
      </c>
      <c r="N182" s="126">
        <f t="shared" si="11"/>
        <v>0</v>
      </c>
      <c r="O182" s="126">
        <f t="shared" si="11"/>
        <v>0</v>
      </c>
      <c r="P182" s="126">
        <f t="shared" si="11"/>
        <v>0</v>
      </c>
      <c r="Q182" s="79">
        <f t="shared" si="11"/>
        <v>2.6474617374230047</v>
      </c>
      <c r="R182" s="127">
        <f t="shared" si="11"/>
        <v>22563.25868668106</v>
      </c>
      <c r="S182" s="128">
        <f t="shared" si="11"/>
        <v>0</v>
      </c>
      <c r="T182" s="77"/>
    </row>
    <row r="183" spans="1:20" s="11" customFormat="1" ht="14" customHeight="1">
      <c r="A183" s="77"/>
      <c r="B183" s="755"/>
      <c r="C183" s="142" t="s">
        <v>9</v>
      </c>
      <c r="D183" s="143" t="s">
        <v>0</v>
      </c>
      <c r="E183" s="475">
        <f>'Absolute Volume'!E183/'Energy data by fuel cycle'!$G$15</f>
        <v>0</v>
      </c>
      <c r="F183" s="157">
        <f>'Absolute Volume'!F183/'Energy data by fuel cycle'!$G$15</f>
        <v>0</v>
      </c>
      <c r="G183" s="157">
        <f>'Absolute Volume'!G183/'Energy data by fuel cycle'!$G$15</f>
        <v>0</v>
      </c>
      <c r="H183" s="157">
        <f>'Absolute Volume'!H183/'Energy data by fuel cycle'!$G$15</f>
        <v>0</v>
      </c>
      <c r="I183" s="157">
        <f>'Absolute Volume'!I183/'Energy data by fuel cycle'!$G$15</f>
        <v>0</v>
      </c>
      <c r="J183" s="157">
        <f>'Absolute Volume'!J183/'Energy data by fuel cycle'!$G$15</f>
        <v>0</v>
      </c>
      <c r="K183" s="158">
        <f>'Absolute Volume'!K183/'Energy data by fuel cycle'!$G$15</f>
        <v>0</v>
      </c>
      <c r="L183" s="158">
        <f>'Absolute Volume'!L183/'Energy data by fuel cycle'!$G$15</f>
        <v>0</v>
      </c>
      <c r="M183" s="157">
        <f>'Absolute Volume'!M183/'Energy data by fuel cycle'!$G$15</f>
        <v>0</v>
      </c>
      <c r="N183" s="157">
        <f>'Absolute Volume'!N183/'Energy data by fuel cycle'!$G$15</f>
        <v>0</v>
      </c>
      <c r="O183" s="157">
        <f>'Absolute Volume'!O183/'Energy data by fuel cycle'!$G$15</f>
        <v>0</v>
      </c>
      <c r="P183" s="157">
        <f>'Absolute Volume'!P183/'Energy data by fuel cycle'!$G$15</f>
        <v>0</v>
      </c>
      <c r="Q183" s="78">
        <f>'Absolute Volume'!Q183/'Energy data by fuel cycle'!$G$15</f>
        <v>0</v>
      </c>
      <c r="R183" s="132">
        <f>'Absolute Volume'!R183/'Energy data by fuel cycle'!$G$15</f>
        <v>0</v>
      </c>
      <c r="S183" s="159">
        <f>'Absolute Volume'!S183/'Energy data by fuel cycle'!$G$15</f>
        <v>0</v>
      </c>
      <c r="T183" s="77"/>
    </row>
    <row r="184" spans="1:20" s="11" customFormat="1" ht="14" customHeight="1">
      <c r="A184" s="77"/>
      <c r="B184" s="755"/>
      <c r="C184" s="142" t="s">
        <v>9</v>
      </c>
      <c r="D184" s="134" t="s">
        <v>7</v>
      </c>
      <c r="E184" s="476">
        <f>'Absolute Volume'!E184/'Energy data by fuel cycle'!$G$15</f>
        <v>0</v>
      </c>
      <c r="F184" s="157">
        <f>'Absolute Volume'!F184/'Energy data by fuel cycle'!$G$15</f>
        <v>0</v>
      </c>
      <c r="G184" s="157">
        <f>'Absolute Volume'!G184/'Energy data by fuel cycle'!$G$15</f>
        <v>0</v>
      </c>
      <c r="H184" s="157">
        <f>'Absolute Volume'!H184/'Energy data by fuel cycle'!$G$15</f>
        <v>0</v>
      </c>
      <c r="I184" s="157">
        <f>'Absolute Volume'!I184/'Energy data by fuel cycle'!$G$15</f>
        <v>0</v>
      </c>
      <c r="J184" s="157">
        <f>'Absolute Volume'!J184/'Energy data by fuel cycle'!$G$15</f>
        <v>0</v>
      </c>
      <c r="K184" s="158">
        <f>'Absolute Volume'!K184/'Energy data by fuel cycle'!$G$15</f>
        <v>0</v>
      </c>
      <c r="L184" s="158">
        <f>'Absolute Volume'!L184/'Energy data by fuel cycle'!$G$15</f>
        <v>0</v>
      </c>
      <c r="M184" s="157">
        <f>'Absolute Volume'!M184/'Energy data by fuel cycle'!$G$15</f>
        <v>0</v>
      </c>
      <c r="N184" s="157">
        <f>'Absolute Volume'!N184/'Energy data by fuel cycle'!$G$15</f>
        <v>0</v>
      </c>
      <c r="O184" s="157">
        <f>'Absolute Volume'!O184/'Energy data by fuel cycle'!$G$15</f>
        <v>0</v>
      </c>
      <c r="P184" s="157">
        <f>'Absolute Volume'!P184/'Energy data by fuel cycle'!$G$15</f>
        <v>0</v>
      </c>
      <c r="Q184" s="78">
        <f>'Absolute Volume'!Q184/'Energy data by fuel cycle'!$G$15</f>
        <v>0</v>
      </c>
      <c r="R184" s="132">
        <f>'Absolute Volume'!R184/'Energy data by fuel cycle'!$G$15</f>
        <v>0</v>
      </c>
      <c r="S184" s="159">
        <f>'Absolute Volume'!S184/'Energy data by fuel cycle'!$G$15</f>
        <v>0</v>
      </c>
      <c r="T184" s="77"/>
    </row>
    <row r="185" spans="1:20" s="11" customFormat="1" ht="14" customHeight="1">
      <c r="A185" s="77"/>
      <c r="B185" s="755"/>
      <c r="C185" s="142" t="s">
        <v>9</v>
      </c>
      <c r="D185" s="135" t="s">
        <v>1</v>
      </c>
      <c r="E185" s="476">
        <f>'Absolute Volume'!E185/'Energy data by fuel cycle'!$G$15</f>
        <v>0</v>
      </c>
      <c r="F185" s="157">
        <f>'Absolute Volume'!F185/'Energy data by fuel cycle'!$G$15</f>
        <v>0</v>
      </c>
      <c r="G185" s="157">
        <f>'Absolute Volume'!G185/'Energy data by fuel cycle'!$G$15</f>
        <v>0</v>
      </c>
      <c r="H185" s="157">
        <f>'Absolute Volume'!H185/'Energy data by fuel cycle'!$G$15</f>
        <v>0</v>
      </c>
      <c r="I185" s="157">
        <f>'Absolute Volume'!I185/'Energy data by fuel cycle'!$G$15</f>
        <v>0</v>
      </c>
      <c r="J185" s="157">
        <f>'Absolute Volume'!J185/'Energy data by fuel cycle'!$G$15</f>
        <v>0</v>
      </c>
      <c r="K185" s="158">
        <f>'Absolute Volume'!K185/'Energy data by fuel cycle'!$G$15</f>
        <v>0</v>
      </c>
      <c r="L185" s="158">
        <f>'Absolute Volume'!L185/'Energy data by fuel cycle'!$G$15</f>
        <v>0</v>
      </c>
      <c r="M185" s="157">
        <f>'Absolute Volume'!M185/'Energy data by fuel cycle'!$G$15</f>
        <v>0</v>
      </c>
      <c r="N185" s="157">
        <f>'Absolute Volume'!N185/'Energy data by fuel cycle'!$G$15</f>
        <v>0</v>
      </c>
      <c r="O185" s="157">
        <f>'Absolute Volume'!O185/'Energy data by fuel cycle'!$G$15</f>
        <v>0</v>
      </c>
      <c r="P185" s="157">
        <f>'Absolute Volume'!P185/'Energy data by fuel cycle'!$G$15</f>
        <v>0</v>
      </c>
      <c r="Q185" s="78">
        <f>'Absolute Volume'!Q185/'Energy data by fuel cycle'!$G$15</f>
        <v>0</v>
      </c>
      <c r="R185" s="132">
        <f>'Absolute Volume'!R185/'Energy data by fuel cycle'!$G$15</f>
        <v>0</v>
      </c>
      <c r="S185" s="159">
        <f>'Absolute Volume'!S185/'Energy data by fuel cycle'!$G$15</f>
        <v>0</v>
      </c>
      <c r="T185" s="77"/>
    </row>
    <row r="186" spans="1:20" s="11" customFormat="1" ht="14" customHeight="1">
      <c r="A186" s="77"/>
      <c r="B186" s="755"/>
      <c r="C186" s="144" t="s">
        <v>9</v>
      </c>
      <c r="D186" s="145" t="s">
        <v>13</v>
      </c>
      <c r="E186" s="477">
        <f>'Absolute Volume'!E186/'Energy data by fuel cycle'!$G$15</f>
        <v>0</v>
      </c>
      <c r="F186" s="163">
        <f>'Absolute Volume'!F186/'Energy data by fuel cycle'!$G$15</f>
        <v>0</v>
      </c>
      <c r="G186" s="163">
        <f>'Absolute Volume'!G186/'Energy data by fuel cycle'!$G$15</f>
        <v>0</v>
      </c>
      <c r="H186" s="163">
        <f>'Absolute Volume'!H186/'Energy data by fuel cycle'!$G$15</f>
        <v>0</v>
      </c>
      <c r="I186" s="163">
        <f>'Absolute Volume'!I186/'Energy data by fuel cycle'!$G$15</f>
        <v>0</v>
      </c>
      <c r="J186" s="163">
        <f>'Absolute Volume'!J186/'Energy data by fuel cycle'!$G$15</f>
        <v>0</v>
      </c>
      <c r="K186" s="164">
        <f>'Absolute Volume'!K186/'Energy data by fuel cycle'!$G$15</f>
        <v>0</v>
      </c>
      <c r="L186" s="164">
        <f>'Absolute Volume'!L186/'Energy data by fuel cycle'!$G$15</f>
        <v>0</v>
      </c>
      <c r="M186" s="163">
        <f>'Absolute Volume'!M186/'Energy data by fuel cycle'!$G$15</f>
        <v>0</v>
      </c>
      <c r="N186" s="163">
        <f>'Absolute Volume'!N186/'Energy data by fuel cycle'!$G$15</f>
        <v>0</v>
      </c>
      <c r="O186" s="163">
        <f>'Absolute Volume'!O186/'Energy data by fuel cycle'!$G$15</f>
        <v>0</v>
      </c>
      <c r="P186" s="163">
        <f>'Absolute Volume'!P186/'Energy data by fuel cycle'!$G$15</f>
        <v>0</v>
      </c>
      <c r="Q186" s="147">
        <f>'Absolute Volume'!Q186/'Energy data by fuel cycle'!$G$15</f>
        <v>0</v>
      </c>
      <c r="R186" s="148">
        <f>'Absolute Volume'!R186/'Energy data by fuel cycle'!$G$15</f>
        <v>0</v>
      </c>
      <c r="S186" s="165">
        <f>'Absolute Volume'!S186/'Energy data by fuel cycle'!$G$15</f>
        <v>0</v>
      </c>
      <c r="T186" s="77"/>
    </row>
    <row r="187" spans="1:20" s="11" customFormat="1" ht="14" customHeight="1">
      <c r="A187" s="77"/>
      <c r="B187" s="755"/>
      <c r="C187" s="129" t="s">
        <v>8</v>
      </c>
      <c r="D187" s="130" t="s">
        <v>0</v>
      </c>
      <c r="E187" s="476">
        <f>'Absolute Volume'!E187/'Energy data by fuel cycle'!$G$15</f>
        <v>2.6474617374230047</v>
      </c>
      <c r="F187" s="157">
        <f>'Absolute Volume'!F187/'Energy data by fuel cycle'!$G$15</f>
        <v>2.6474617374230047</v>
      </c>
      <c r="G187" s="157">
        <f>'Absolute Volume'!G187/'Energy data by fuel cycle'!$G$15</f>
        <v>0</v>
      </c>
      <c r="H187" s="157">
        <f>'Absolute Volume'!H187/'Energy data by fuel cycle'!$G$15</f>
        <v>0</v>
      </c>
      <c r="I187" s="157">
        <f>'Absolute Volume'!I187/'Energy data by fuel cycle'!$G$15</f>
        <v>0</v>
      </c>
      <c r="J187" s="157">
        <f>'Absolute Volume'!J187/'Energy data by fuel cycle'!$G$15</f>
        <v>0</v>
      </c>
      <c r="K187" s="158">
        <f>'Absolute Volume'!K187/'Energy data by fuel cycle'!$G$15</f>
        <v>0</v>
      </c>
      <c r="L187" s="158">
        <f>'Absolute Volume'!L187/'Energy data by fuel cycle'!$G$15</f>
        <v>22560.611224943637</v>
      </c>
      <c r="M187" s="157">
        <f>'Absolute Volume'!M187/'Energy data by fuel cycle'!$G$15</f>
        <v>0</v>
      </c>
      <c r="N187" s="157">
        <f>'Absolute Volume'!N187/'Energy data by fuel cycle'!$G$15</f>
        <v>0</v>
      </c>
      <c r="O187" s="157">
        <f>'Absolute Volume'!O187/'Energy data by fuel cycle'!$G$15</f>
        <v>0</v>
      </c>
      <c r="P187" s="157">
        <f>'Absolute Volume'!P187/'Energy data by fuel cycle'!$G$15</f>
        <v>0</v>
      </c>
      <c r="Q187" s="78">
        <f>'Absolute Volume'!Q187/'Energy data by fuel cycle'!$G$15</f>
        <v>2.6474617374230047</v>
      </c>
      <c r="R187" s="132">
        <f>'Absolute Volume'!R187/'Energy data by fuel cycle'!$G$15</f>
        <v>22563.25868668106</v>
      </c>
      <c r="S187" s="159">
        <f>'Absolute Volume'!S187/'Energy data by fuel cycle'!$G$15</f>
        <v>0</v>
      </c>
      <c r="T187" s="77"/>
    </row>
    <row r="188" spans="1:20" s="11" customFormat="1" ht="14" customHeight="1">
      <c r="A188" s="77"/>
      <c r="B188" s="755"/>
      <c r="C188" s="129" t="s">
        <v>8</v>
      </c>
      <c r="D188" s="134" t="s">
        <v>7</v>
      </c>
      <c r="E188" s="476">
        <f>'Absolute Volume'!E188/'Energy data by fuel cycle'!$G$15</f>
        <v>0</v>
      </c>
      <c r="F188" s="157">
        <f>'Absolute Volume'!F188/'Energy data by fuel cycle'!$G$15</f>
        <v>0</v>
      </c>
      <c r="G188" s="157">
        <f>'Absolute Volume'!G188/'Energy data by fuel cycle'!$G$15</f>
        <v>0</v>
      </c>
      <c r="H188" s="157">
        <f>'Absolute Volume'!H188/'Energy data by fuel cycle'!$G$15</f>
        <v>0</v>
      </c>
      <c r="I188" s="157">
        <f>'Absolute Volume'!I188/'Energy data by fuel cycle'!$G$15</f>
        <v>0</v>
      </c>
      <c r="J188" s="157">
        <f>'Absolute Volume'!J188/'Energy data by fuel cycle'!$G$15</f>
        <v>0</v>
      </c>
      <c r="K188" s="158">
        <f>'Absolute Volume'!K188/'Energy data by fuel cycle'!$G$15</f>
        <v>0</v>
      </c>
      <c r="L188" s="158">
        <f>'Absolute Volume'!L188/'Energy data by fuel cycle'!$G$15</f>
        <v>0</v>
      </c>
      <c r="M188" s="157">
        <f>'Absolute Volume'!M188/'Energy data by fuel cycle'!$G$15</f>
        <v>0</v>
      </c>
      <c r="N188" s="157">
        <f>'Absolute Volume'!N188/'Energy data by fuel cycle'!$G$15</f>
        <v>0</v>
      </c>
      <c r="O188" s="157">
        <f>'Absolute Volume'!O188/'Energy data by fuel cycle'!$G$15</f>
        <v>0</v>
      </c>
      <c r="P188" s="157">
        <f>'Absolute Volume'!P188/'Energy data by fuel cycle'!$G$15</f>
        <v>0</v>
      </c>
      <c r="Q188" s="78">
        <f>'Absolute Volume'!Q188/'Energy data by fuel cycle'!$G$15</f>
        <v>0</v>
      </c>
      <c r="R188" s="132">
        <f>'Absolute Volume'!R188/'Energy data by fuel cycle'!$G$15</f>
        <v>0</v>
      </c>
      <c r="S188" s="159">
        <f>'Absolute Volume'!S188/'Energy data by fuel cycle'!$G$15</f>
        <v>0</v>
      </c>
      <c r="T188" s="77"/>
    </row>
    <row r="189" spans="1:20" s="11" customFormat="1" ht="14" customHeight="1">
      <c r="A189" s="77"/>
      <c r="B189" s="755"/>
      <c r="C189" s="129" t="s">
        <v>8</v>
      </c>
      <c r="D189" s="135" t="s">
        <v>1</v>
      </c>
      <c r="E189" s="476">
        <f>'Absolute Volume'!E189/'Energy data by fuel cycle'!$G$15</f>
        <v>0</v>
      </c>
      <c r="F189" s="157">
        <f>'Absolute Volume'!F189/'Energy data by fuel cycle'!$G$15</f>
        <v>0</v>
      </c>
      <c r="G189" s="157">
        <f>'Absolute Volume'!G189/'Energy data by fuel cycle'!$G$15</f>
        <v>0</v>
      </c>
      <c r="H189" s="157">
        <f>'Absolute Volume'!H189/'Energy data by fuel cycle'!$G$15</f>
        <v>0</v>
      </c>
      <c r="I189" s="157">
        <f>'Absolute Volume'!I189/'Energy data by fuel cycle'!$G$15</f>
        <v>0</v>
      </c>
      <c r="J189" s="157">
        <f>'Absolute Volume'!J189/'Energy data by fuel cycle'!$G$15</f>
        <v>0</v>
      </c>
      <c r="K189" s="158">
        <f>'Absolute Volume'!K189/'Energy data by fuel cycle'!$G$15</f>
        <v>0</v>
      </c>
      <c r="L189" s="158">
        <f>'Absolute Volume'!L189/'Energy data by fuel cycle'!$G$15</f>
        <v>0</v>
      </c>
      <c r="M189" s="157">
        <f>'Absolute Volume'!M189/'Energy data by fuel cycle'!$G$15</f>
        <v>0</v>
      </c>
      <c r="N189" s="157">
        <f>'Absolute Volume'!N189/'Energy data by fuel cycle'!$G$15</f>
        <v>0</v>
      </c>
      <c r="O189" s="157">
        <f>'Absolute Volume'!O189/'Energy data by fuel cycle'!$G$15</f>
        <v>0</v>
      </c>
      <c r="P189" s="157">
        <f>'Absolute Volume'!P189/'Energy data by fuel cycle'!$G$15</f>
        <v>0</v>
      </c>
      <c r="Q189" s="78">
        <f>'Absolute Volume'!Q189/'Energy data by fuel cycle'!$G$15</f>
        <v>0</v>
      </c>
      <c r="R189" s="132">
        <f>'Absolute Volume'!R189/'Energy data by fuel cycle'!$G$15</f>
        <v>0</v>
      </c>
      <c r="S189" s="159">
        <f>'Absolute Volume'!S189/'Energy data by fuel cycle'!$G$15</f>
        <v>0</v>
      </c>
      <c r="T189" s="77"/>
    </row>
    <row r="190" spans="1:20" s="11" customFormat="1" ht="14" customHeight="1">
      <c r="A190" s="77"/>
      <c r="B190" s="755"/>
      <c r="C190" s="136" t="s">
        <v>8</v>
      </c>
      <c r="D190" s="137" t="s">
        <v>13</v>
      </c>
      <c r="E190" s="478">
        <f>'Absolute Volume'!E190/'Energy data by fuel cycle'!$G$15</f>
        <v>0</v>
      </c>
      <c r="F190" s="160">
        <f>'Absolute Volume'!F190/'Energy data by fuel cycle'!$G$15</f>
        <v>0</v>
      </c>
      <c r="G190" s="160">
        <f>'Absolute Volume'!G190/'Energy data by fuel cycle'!$G$15</f>
        <v>0</v>
      </c>
      <c r="H190" s="160">
        <f>'Absolute Volume'!H190/'Energy data by fuel cycle'!$G$15</f>
        <v>0</v>
      </c>
      <c r="I190" s="160">
        <f>'Absolute Volume'!I190/'Energy data by fuel cycle'!$G$15</f>
        <v>0</v>
      </c>
      <c r="J190" s="160">
        <f>'Absolute Volume'!J190/'Energy data by fuel cycle'!$G$15</f>
        <v>0</v>
      </c>
      <c r="K190" s="161">
        <f>'Absolute Volume'!K190/'Energy data by fuel cycle'!$G$15</f>
        <v>0</v>
      </c>
      <c r="L190" s="161">
        <f>'Absolute Volume'!L190/'Energy data by fuel cycle'!$G$15</f>
        <v>0</v>
      </c>
      <c r="M190" s="160">
        <f>'Absolute Volume'!M190/'Energy data by fuel cycle'!$G$15</f>
        <v>0</v>
      </c>
      <c r="N190" s="160">
        <f>'Absolute Volume'!N190/'Energy data by fuel cycle'!$G$15</f>
        <v>0</v>
      </c>
      <c r="O190" s="160">
        <f>'Absolute Volume'!O190/'Energy data by fuel cycle'!$G$15</f>
        <v>0</v>
      </c>
      <c r="P190" s="160">
        <f>'Absolute Volume'!P190/'Energy data by fuel cycle'!$G$15</f>
        <v>0</v>
      </c>
      <c r="Q190" s="139">
        <f>'Absolute Volume'!Q190/'Energy data by fuel cycle'!$G$15</f>
        <v>0</v>
      </c>
      <c r="R190" s="140">
        <f>'Absolute Volume'!R190/'Energy data by fuel cycle'!$G$15</f>
        <v>0</v>
      </c>
      <c r="S190" s="162">
        <f>'Absolute Volume'!S190/'Energy data by fuel cycle'!$G$15</f>
        <v>0</v>
      </c>
      <c r="T190" s="77"/>
    </row>
    <row r="191" spans="1:20" s="11" customFormat="1" ht="14" customHeight="1">
      <c r="A191" s="77"/>
      <c r="B191" s="755"/>
      <c r="C191" s="150" t="s">
        <v>10</v>
      </c>
      <c r="D191" s="143" t="s">
        <v>0</v>
      </c>
      <c r="E191" s="476">
        <f>'Absolute Volume'!E191/'Energy data by fuel cycle'!$G$15</f>
        <v>0</v>
      </c>
      <c r="F191" s="157">
        <f>'Absolute Volume'!F191/'Energy data by fuel cycle'!$G$15</f>
        <v>0</v>
      </c>
      <c r="G191" s="157">
        <f>'Absolute Volume'!G191/'Energy data by fuel cycle'!$G$15</f>
        <v>0</v>
      </c>
      <c r="H191" s="157">
        <f>'Absolute Volume'!H191/'Energy data by fuel cycle'!$G$15</f>
        <v>0</v>
      </c>
      <c r="I191" s="157">
        <f>'Absolute Volume'!I191/'Energy data by fuel cycle'!$G$15</f>
        <v>0</v>
      </c>
      <c r="J191" s="157">
        <f>'Absolute Volume'!J191/'Energy data by fuel cycle'!$G$15</f>
        <v>0</v>
      </c>
      <c r="K191" s="158">
        <f>'Absolute Volume'!K191/'Energy data by fuel cycle'!$G$15</f>
        <v>0</v>
      </c>
      <c r="L191" s="158">
        <f>'Absolute Volume'!L191/'Energy data by fuel cycle'!$G$15</f>
        <v>0</v>
      </c>
      <c r="M191" s="157">
        <f>'Absolute Volume'!M191/'Energy data by fuel cycle'!$G$15</f>
        <v>0</v>
      </c>
      <c r="N191" s="157">
        <f>'Absolute Volume'!N191/'Energy data by fuel cycle'!$G$15</f>
        <v>0</v>
      </c>
      <c r="O191" s="157">
        <f>'Absolute Volume'!O191/'Energy data by fuel cycle'!$G$15</f>
        <v>0</v>
      </c>
      <c r="P191" s="157">
        <f>'Absolute Volume'!P191/'Energy data by fuel cycle'!$G$15</f>
        <v>0</v>
      </c>
      <c r="Q191" s="78">
        <f>'Absolute Volume'!Q191/'Energy data by fuel cycle'!$G$15</f>
        <v>0</v>
      </c>
      <c r="R191" s="132">
        <f>'Absolute Volume'!R191/'Energy data by fuel cycle'!$G$15</f>
        <v>0</v>
      </c>
      <c r="S191" s="159">
        <f>'Absolute Volume'!S191/'Energy data by fuel cycle'!$G$15</f>
        <v>0</v>
      </c>
      <c r="T191" s="77"/>
    </row>
    <row r="192" spans="1:20" s="11" customFormat="1" ht="14" customHeight="1">
      <c r="A192" s="77"/>
      <c r="B192" s="755"/>
      <c r="C192" s="150" t="s">
        <v>10</v>
      </c>
      <c r="D192" s="134" t="s">
        <v>7</v>
      </c>
      <c r="E192" s="476">
        <f>'Absolute Volume'!E192/'Energy data by fuel cycle'!$G$15</f>
        <v>0</v>
      </c>
      <c r="F192" s="157">
        <f>'Absolute Volume'!F192/'Energy data by fuel cycle'!$G$15</f>
        <v>0</v>
      </c>
      <c r="G192" s="157">
        <f>'Absolute Volume'!G192/'Energy data by fuel cycle'!$G$15</f>
        <v>0</v>
      </c>
      <c r="H192" s="157">
        <f>'Absolute Volume'!H192/'Energy data by fuel cycle'!$G$15</f>
        <v>0</v>
      </c>
      <c r="I192" s="157">
        <f>'Absolute Volume'!I192/'Energy data by fuel cycle'!$G$15</f>
        <v>0</v>
      </c>
      <c r="J192" s="157">
        <f>'Absolute Volume'!J192/'Energy data by fuel cycle'!$G$15</f>
        <v>0</v>
      </c>
      <c r="K192" s="158">
        <f>'Absolute Volume'!K192/'Energy data by fuel cycle'!$G$15</f>
        <v>0</v>
      </c>
      <c r="L192" s="158">
        <f>'Absolute Volume'!L192/'Energy data by fuel cycle'!$G$15</f>
        <v>0</v>
      </c>
      <c r="M192" s="157">
        <f>'Absolute Volume'!M192/'Energy data by fuel cycle'!$G$15</f>
        <v>0</v>
      </c>
      <c r="N192" s="157">
        <f>'Absolute Volume'!N192/'Energy data by fuel cycle'!$G$15</f>
        <v>0</v>
      </c>
      <c r="O192" s="157">
        <f>'Absolute Volume'!O192/'Energy data by fuel cycle'!$G$15</f>
        <v>0</v>
      </c>
      <c r="P192" s="157">
        <f>'Absolute Volume'!P192/'Energy data by fuel cycle'!$G$15</f>
        <v>0</v>
      </c>
      <c r="Q192" s="78">
        <f>'Absolute Volume'!Q192/'Energy data by fuel cycle'!$G$15</f>
        <v>0</v>
      </c>
      <c r="R192" s="132">
        <f>'Absolute Volume'!R192/'Energy data by fuel cycle'!$G$15</f>
        <v>0</v>
      </c>
      <c r="S192" s="159">
        <f>'Absolute Volume'!S192/'Energy data by fuel cycle'!$G$15</f>
        <v>0</v>
      </c>
      <c r="T192" s="77"/>
    </row>
    <row r="193" spans="1:20" s="11" customFormat="1" ht="14" customHeight="1">
      <c r="A193" s="77"/>
      <c r="B193" s="755"/>
      <c r="C193" s="150" t="s">
        <v>10</v>
      </c>
      <c r="D193" s="135" t="s">
        <v>1</v>
      </c>
      <c r="E193" s="476">
        <f>'Absolute Volume'!E193/'Energy data by fuel cycle'!$G$15</f>
        <v>0</v>
      </c>
      <c r="F193" s="157">
        <f>'Absolute Volume'!F193/'Energy data by fuel cycle'!$G$15</f>
        <v>0</v>
      </c>
      <c r="G193" s="157">
        <f>'Absolute Volume'!G193/'Energy data by fuel cycle'!$G$15</f>
        <v>0</v>
      </c>
      <c r="H193" s="157">
        <f>'Absolute Volume'!H193/'Energy data by fuel cycle'!$G$15</f>
        <v>0</v>
      </c>
      <c r="I193" s="157">
        <f>'Absolute Volume'!I193/'Energy data by fuel cycle'!$G$15</f>
        <v>0</v>
      </c>
      <c r="J193" s="157">
        <f>'Absolute Volume'!J193/'Energy data by fuel cycle'!$G$15</f>
        <v>0</v>
      </c>
      <c r="K193" s="158">
        <f>'Absolute Volume'!K193/'Energy data by fuel cycle'!$G$15</f>
        <v>0</v>
      </c>
      <c r="L193" s="158">
        <f>'Absolute Volume'!L193/'Energy data by fuel cycle'!$G$15</f>
        <v>0</v>
      </c>
      <c r="M193" s="157">
        <f>'Absolute Volume'!M193/'Energy data by fuel cycle'!$G$15</f>
        <v>0</v>
      </c>
      <c r="N193" s="157">
        <f>'Absolute Volume'!N193/'Energy data by fuel cycle'!$G$15</f>
        <v>0</v>
      </c>
      <c r="O193" s="157">
        <f>'Absolute Volume'!O193/'Energy data by fuel cycle'!$G$15</f>
        <v>0</v>
      </c>
      <c r="P193" s="157">
        <f>'Absolute Volume'!P193/'Energy data by fuel cycle'!$G$15</f>
        <v>0</v>
      </c>
      <c r="Q193" s="78">
        <f>'Absolute Volume'!Q193/'Energy data by fuel cycle'!$G$15</f>
        <v>0</v>
      </c>
      <c r="R193" s="132">
        <f>'Absolute Volume'!R193/'Energy data by fuel cycle'!$G$15</f>
        <v>0</v>
      </c>
      <c r="S193" s="159">
        <f>'Absolute Volume'!S193/'Energy data by fuel cycle'!$G$15</f>
        <v>0</v>
      </c>
      <c r="T193" s="77"/>
    </row>
    <row r="194" spans="1:20" s="11" customFormat="1" ht="14" customHeight="1" thickBot="1">
      <c r="A194" s="77"/>
      <c r="B194" s="755"/>
      <c r="C194" s="150" t="s">
        <v>10</v>
      </c>
      <c r="D194" s="166" t="s">
        <v>13</v>
      </c>
      <c r="E194" s="476">
        <f>'Absolute Volume'!E194/'Energy data by fuel cycle'!$G$15</f>
        <v>0</v>
      </c>
      <c r="F194" s="157">
        <f>'Absolute Volume'!F194/'Energy data by fuel cycle'!$G$15</f>
        <v>0</v>
      </c>
      <c r="G194" s="157">
        <f>'Absolute Volume'!G194/'Energy data by fuel cycle'!$G$15</f>
        <v>0</v>
      </c>
      <c r="H194" s="157">
        <f>'Absolute Volume'!H194/'Energy data by fuel cycle'!$G$15</f>
        <v>0</v>
      </c>
      <c r="I194" s="157">
        <f>'Absolute Volume'!I194/'Energy data by fuel cycle'!$G$15</f>
        <v>0</v>
      </c>
      <c r="J194" s="157">
        <f>'Absolute Volume'!J194/'Energy data by fuel cycle'!$G$15</f>
        <v>0</v>
      </c>
      <c r="K194" s="158">
        <f>'Absolute Volume'!K194/'Energy data by fuel cycle'!$G$15</f>
        <v>0</v>
      </c>
      <c r="L194" s="158">
        <f>'Absolute Volume'!L194/'Energy data by fuel cycle'!$G$15</f>
        <v>0</v>
      </c>
      <c r="M194" s="157">
        <f>'Absolute Volume'!M194/'Energy data by fuel cycle'!$G$15</f>
        <v>0</v>
      </c>
      <c r="N194" s="157">
        <f>'Absolute Volume'!N194/'Energy data by fuel cycle'!$G$15</f>
        <v>0</v>
      </c>
      <c r="O194" s="157">
        <f>'Absolute Volume'!O194/'Energy data by fuel cycle'!$G$15</f>
        <v>0</v>
      </c>
      <c r="P194" s="157">
        <f>'Absolute Volume'!P194/'Energy data by fuel cycle'!$G$15</f>
        <v>0</v>
      </c>
      <c r="Q194" s="78">
        <f>'Absolute Volume'!Q194/'Energy data by fuel cycle'!$G$15</f>
        <v>0</v>
      </c>
      <c r="R194" s="132">
        <f>'Absolute Volume'!R194/'Energy data by fuel cycle'!$G$15</f>
        <v>0</v>
      </c>
      <c r="S194" s="159">
        <f>'Absolute Volume'!S194/'Energy data by fuel cycle'!$G$15</f>
        <v>0</v>
      </c>
      <c r="T194" s="77"/>
    </row>
    <row r="195" spans="1:20" s="75" customFormat="1" ht="30" customHeight="1" thickBot="1">
      <c r="A195" s="115"/>
      <c r="B195" s="768" t="s">
        <v>5</v>
      </c>
      <c r="C195" s="769"/>
      <c r="D195" s="769"/>
      <c r="E195" s="769"/>
      <c r="F195" s="769"/>
      <c r="G195" s="769"/>
      <c r="H195" s="769"/>
      <c r="I195" s="769"/>
      <c r="J195" s="769"/>
      <c r="K195" s="769"/>
      <c r="L195" s="769"/>
      <c r="M195" s="769"/>
      <c r="N195" s="769"/>
      <c r="O195" s="769"/>
      <c r="P195" s="769"/>
      <c r="Q195" s="769"/>
      <c r="R195" s="769"/>
      <c r="S195" s="770"/>
      <c r="T195" s="115"/>
    </row>
    <row r="196" spans="1:20" s="11" customFormat="1" ht="14" customHeight="1">
      <c r="A196" s="77"/>
      <c r="B196" s="755" t="s">
        <v>856</v>
      </c>
      <c r="C196" s="120"/>
      <c r="D196" s="156"/>
      <c r="E196" s="759" t="s">
        <v>591</v>
      </c>
      <c r="F196" s="760"/>
      <c r="G196" s="756" t="s">
        <v>66</v>
      </c>
      <c r="H196" s="756"/>
      <c r="I196" s="742" t="s">
        <v>67</v>
      </c>
      <c r="J196" s="742"/>
      <c r="K196" s="743" t="s">
        <v>68</v>
      </c>
      <c r="L196" s="743"/>
      <c r="M196" s="744" t="s">
        <v>69</v>
      </c>
      <c r="N196" s="744"/>
      <c r="O196" s="745" t="s">
        <v>413</v>
      </c>
      <c r="P196" s="745"/>
      <c r="Q196" s="121" t="s">
        <v>763</v>
      </c>
      <c r="R196" s="122" t="s">
        <v>763</v>
      </c>
      <c r="S196" s="123" t="s">
        <v>763</v>
      </c>
      <c r="T196" s="77"/>
    </row>
    <row r="197" spans="1:20" s="11" customFormat="1" ht="14" customHeight="1">
      <c r="A197" s="77"/>
      <c r="B197" s="755"/>
      <c r="C197" s="120"/>
      <c r="D197" s="156"/>
      <c r="E197" s="469" t="s">
        <v>209</v>
      </c>
      <c r="F197" s="414" t="s">
        <v>208</v>
      </c>
      <c r="G197" s="414" t="s">
        <v>209</v>
      </c>
      <c r="H197" s="414" t="s">
        <v>208</v>
      </c>
      <c r="I197" s="414" t="s">
        <v>209</v>
      </c>
      <c r="J197" s="414" t="s">
        <v>208</v>
      </c>
      <c r="K197" s="414" t="s">
        <v>209</v>
      </c>
      <c r="L197" s="414" t="s">
        <v>208</v>
      </c>
      <c r="M197" s="414" t="s">
        <v>209</v>
      </c>
      <c r="N197" s="414" t="s">
        <v>208</v>
      </c>
      <c r="O197" s="414" t="s">
        <v>209</v>
      </c>
      <c r="P197" s="414" t="s">
        <v>208</v>
      </c>
      <c r="Q197" s="121" t="s">
        <v>209</v>
      </c>
      <c r="R197" s="468" t="s">
        <v>208</v>
      </c>
      <c r="S197" s="123" t="s">
        <v>413</v>
      </c>
      <c r="T197" s="77"/>
    </row>
    <row r="198" spans="1:20" s="11" customFormat="1" ht="28" customHeight="1">
      <c r="A198" s="77"/>
      <c r="B198" s="755"/>
      <c r="C198" s="124" t="s">
        <v>761</v>
      </c>
      <c r="D198" s="125" t="s">
        <v>762</v>
      </c>
      <c r="E198" s="126">
        <f t="shared" ref="E198:S198" si="12">SUM(E199:E210)</f>
        <v>3.159798147853176E-3</v>
      </c>
      <c r="F198" s="126">
        <f t="shared" si="12"/>
        <v>3.159798147853176E-2</v>
      </c>
      <c r="G198" s="126">
        <f t="shared" si="12"/>
        <v>0</v>
      </c>
      <c r="H198" s="126">
        <f t="shared" si="12"/>
        <v>0</v>
      </c>
      <c r="I198" s="126">
        <f t="shared" si="12"/>
        <v>0</v>
      </c>
      <c r="J198" s="126">
        <f t="shared" si="12"/>
        <v>0</v>
      </c>
      <c r="K198" s="126">
        <f t="shared" si="12"/>
        <v>0</v>
      </c>
      <c r="L198" s="126">
        <f t="shared" si="12"/>
        <v>0</v>
      </c>
      <c r="M198" s="126">
        <f t="shared" si="12"/>
        <v>0</v>
      </c>
      <c r="N198" s="126">
        <f t="shared" si="12"/>
        <v>0</v>
      </c>
      <c r="O198" s="126">
        <f t="shared" si="12"/>
        <v>0</v>
      </c>
      <c r="P198" s="126">
        <f t="shared" si="12"/>
        <v>0</v>
      </c>
      <c r="Q198" s="79">
        <f t="shared" si="12"/>
        <v>3.159798147853176E-3</v>
      </c>
      <c r="R198" s="127">
        <f t="shared" si="12"/>
        <v>3.159798147853176E-2</v>
      </c>
      <c r="S198" s="128">
        <f t="shared" si="12"/>
        <v>0</v>
      </c>
      <c r="T198" s="77"/>
    </row>
    <row r="199" spans="1:20" s="11" customFormat="1" ht="14" customHeight="1">
      <c r="A199" s="77"/>
      <c r="B199" s="755"/>
      <c r="C199" s="142" t="s">
        <v>9</v>
      </c>
      <c r="D199" s="143" t="s">
        <v>0</v>
      </c>
      <c r="E199" s="475">
        <f>'Absolute Volume'!E199/'Energy data by fuel cycle'!$G$16</f>
        <v>1.2639192591412706E-3</v>
      </c>
      <c r="F199" s="157">
        <f>'Absolute Volume'!F199/'Energy data by fuel cycle'!$G$16</f>
        <v>1.2639192591412706E-2</v>
      </c>
      <c r="G199" s="157">
        <f>'Absolute Volume'!G199/'Energy data by fuel cycle'!$G$16</f>
        <v>0</v>
      </c>
      <c r="H199" s="157">
        <f>'Absolute Volume'!H199/'Energy data by fuel cycle'!$G$16</f>
        <v>0</v>
      </c>
      <c r="I199" s="157">
        <f>'Absolute Volume'!I199/'Energy data by fuel cycle'!$G$16</f>
        <v>0</v>
      </c>
      <c r="J199" s="157">
        <f>'Absolute Volume'!J199/'Energy data by fuel cycle'!$G$16</f>
        <v>0</v>
      </c>
      <c r="K199" s="158">
        <f>'Absolute Volume'!K199/'Energy data by fuel cycle'!$G$16</f>
        <v>0</v>
      </c>
      <c r="L199" s="158">
        <f>'Absolute Volume'!L199/'Energy data by fuel cycle'!$G$16</f>
        <v>0</v>
      </c>
      <c r="M199" s="157">
        <f>'Absolute Volume'!M199/'Energy data by fuel cycle'!$G$16</f>
        <v>0</v>
      </c>
      <c r="N199" s="157">
        <f>'Absolute Volume'!N199/'Energy data by fuel cycle'!$G$16</f>
        <v>0</v>
      </c>
      <c r="O199" s="157">
        <f>'Absolute Volume'!O199/'Energy data by fuel cycle'!$G$16</f>
        <v>0</v>
      </c>
      <c r="P199" s="157">
        <f>'Absolute Volume'!P199/'Energy data by fuel cycle'!$G$16</f>
        <v>0</v>
      </c>
      <c r="Q199" s="78">
        <f>'Absolute Volume'!Q199/'Energy data by fuel cycle'!$G$16</f>
        <v>1.2639192591412706E-3</v>
      </c>
      <c r="R199" s="132">
        <f>'Absolute Volume'!R199/'Energy data by fuel cycle'!$G$16</f>
        <v>1.2639192591412706E-2</v>
      </c>
      <c r="S199" s="159">
        <f>'Absolute Volume'!S199/'Energy data by fuel cycle'!$G$16</f>
        <v>0</v>
      </c>
      <c r="T199" s="77"/>
    </row>
    <row r="200" spans="1:20" s="11" customFormat="1" ht="14" customHeight="1">
      <c r="A200" s="77"/>
      <c r="B200" s="755"/>
      <c r="C200" s="142" t="s">
        <v>9</v>
      </c>
      <c r="D200" s="134" t="s">
        <v>7</v>
      </c>
      <c r="E200" s="476">
        <f>'Absolute Volume'!E200/'Energy data by fuel cycle'!$G$16</f>
        <v>0</v>
      </c>
      <c r="F200" s="157">
        <f>'Absolute Volume'!F200/'Energy data by fuel cycle'!$G$16</f>
        <v>0</v>
      </c>
      <c r="G200" s="157">
        <f>'Absolute Volume'!G200/'Energy data by fuel cycle'!$G$16</f>
        <v>0</v>
      </c>
      <c r="H200" s="157">
        <f>'Absolute Volume'!H200/'Energy data by fuel cycle'!$G$16</f>
        <v>0</v>
      </c>
      <c r="I200" s="157">
        <f>'Absolute Volume'!I200/'Energy data by fuel cycle'!$G$16</f>
        <v>0</v>
      </c>
      <c r="J200" s="157">
        <f>'Absolute Volume'!J200/'Energy data by fuel cycle'!$G$16</f>
        <v>0</v>
      </c>
      <c r="K200" s="158">
        <f>'Absolute Volume'!K200/'Energy data by fuel cycle'!$G$16</f>
        <v>0</v>
      </c>
      <c r="L200" s="158">
        <f>'Absolute Volume'!L200/'Energy data by fuel cycle'!$G$16</f>
        <v>0</v>
      </c>
      <c r="M200" s="157">
        <f>'Absolute Volume'!M200/'Energy data by fuel cycle'!$G$16</f>
        <v>0</v>
      </c>
      <c r="N200" s="157">
        <f>'Absolute Volume'!N200/'Energy data by fuel cycle'!$G$16</f>
        <v>0</v>
      </c>
      <c r="O200" s="157">
        <f>'Absolute Volume'!O200/'Energy data by fuel cycle'!$G$16</f>
        <v>0</v>
      </c>
      <c r="P200" s="157">
        <f>'Absolute Volume'!P200/'Energy data by fuel cycle'!$G$16</f>
        <v>0</v>
      </c>
      <c r="Q200" s="78">
        <f>'Absolute Volume'!Q200/'Energy data by fuel cycle'!$G$16</f>
        <v>0</v>
      </c>
      <c r="R200" s="132">
        <f>'Absolute Volume'!R200/'Energy data by fuel cycle'!$G$16</f>
        <v>0</v>
      </c>
      <c r="S200" s="159">
        <f>'Absolute Volume'!S200/'Energy data by fuel cycle'!$G$16</f>
        <v>0</v>
      </c>
      <c r="T200" s="77"/>
    </row>
    <row r="201" spans="1:20" s="11" customFormat="1" ht="14" customHeight="1">
      <c r="A201" s="77"/>
      <c r="B201" s="755"/>
      <c r="C201" s="142" t="s">
        <v>9</v>
      </c>
      <c r="D201" s="135" t="s">
        <v>1</v>
      </c>
      <c r="E201" s="476">
        <f>'Absolute Volume'!E201/'Energy data by fuel cycle'!$G$16</f>
        <v>0</v>
      </c>
      <c r="F201" s="157">
        <f>'Absolute Volume'!F201/'Energy data by fuel cycle'!$G$16</f>
        <v>0</v>
      </c>
      <c r="G201" s="157">
        <f>'Absolute Volume'!G201/'Energy data by fuel cycle'!$G$16</f>
        <v>0</v>
      </c>
      <c r="H201" s="157">
        <f>'Absolute Volume'!H201/'Energy data by fuel cycle'!$G$16</f>
        <v>0</v>
      </c>
      <c r="I201" s="157">
        <f>'Absolute Volume'!I201/'Energy data by fuel cycle'!$G$16</f>
        <v>0</v>
      </c>
      <c r="J201" s="157">
        <f>'Absolute Volume'!J201/'Energy data by fuel cycle'!$G$16</f>
        <v>0</v>
      </c>
      <c r="K201" s="158">
        <f>'Absolute Volume'!K201/'Energy data by fuel cycle'!$G$16</f>
        <v>0</v>
      </c>
      <c r="L201" s="158">
        <f>'Absolute Volume'!L201/'Energy data by fuel cycle'!$G$16</f>
        <v>0</v>
      </c>
      <c r="M201" s="157">
        <f>'Absolute Volume'!M201/'Energy data by fuel cycle'!$G$16</f>
        <v>0</v>
      </c>
      <c r="N201" s="157">
        <f>'Absolute Volume'!N201/'Energy data by fuel cycle'!$G$16</f>
        <v>0</v>
      </c>
      <c r="O201" s="157">
        <f>'Absolute Volume'!O201/'Energy data by fuel cycle'!$G$16</f>
        <v>0</v>
      </c>
      <c r="P201" s="157">
        <f>'Absolute Volume'!P201/'Energy data by fuel cycle'!$G$16</f>
        <v>0</v>
      </c>
      <c r="Q201" s="78">
        <f>'Absolute Volume'!Q201/'Energy data by fuel cycle'!$G$16</f>
        <v>0</v>
      </c>
      <c r="R201" s="132">
        <f>'Absolute Volume'!R201/'Energy data by fuel cycle'!$G$16</f>
        <v>0</v>
      </c>
      <c r="S201" s="159">
        <f>'Absolute Volume'!S201/'Energy data by fuel cycle'!$G$16</f>
        <v>0</v>
      </c>
      <c r="T201" s="77"/>
    </row>
    <row r="202" spans="1:20" s="11" customFormat="1" ht="14" customHeight="1">
      <c r="A202" s="77"/>
      <c r="B202" s="755"/>
      <c r="C202" s="144" t="s">
        <v>9</v>
      </c>
      <c r="D202" s="145" t="s">
        <v>13</v>
      </c>
      <c r="E202" s="477">
        <f>'Absolute Volume'!E202/'Energy data by fuel cycle'!$G$16</f>
        <v>0</v>
      </c>
      <c r="F202" s="163">
        <f>'Absolute Volume'!F202/'Energy data by fuel cycle'!$G$16</f>
        <v>0</v>
      </c>
      <c r="G202" s="163">
        <f>'Absolute Volume'!G202/'Energy data by fuel cycle'!$G$16</f>
        <v>0</v>
      </c>
      <c r="H202" s="163">
        <f>'Absolute Volume'!H202/'Energy data by fuel cycle'!$G$16</f>
        <v>0</v>
      </c>
      <c r="I202" s="163">
        <f>'Absolute Volume'!I202/'Energy data by fuel cycle'!$G$16</f>
        <v>0</v>
      </c>
      <c r="J202" s="163">
        <f>'Absolute Volume'!J202/'Energy data by fuel cycle'!$G$16</f>
        <v>0</v>
      </c>
      <c r="K202" s="164">
        <f>'Absolute Volume'!K202/'Energy data by fuel cycle'!$G$16</f>
        <v>0</v>
      </c>
      <c r="L202" s="164">
        <f>'Absolute Volume'!L202/'Energy data by fuel cycle'!$G$16</f>
        <v>0</v>
      </c>
      <c r="M202" s="163">
        <f>'Absolute Volume'!M202/'Energy data by fuel cycle'!$G$16</f>
        <v>0</v>
      </c>
      <c r="N202" s="163">
        <f>'Absolute Volume'!N202/'Energy data by fuel cycle'!$G$16</f>
        <v>0</v>
      </c>
      <c r="O202" s="163">
        <f>'Absolute Volume'!O202/'Energy data by fuel cycle'!$G$16</f>
        <v>0</v>
      </c>
      <c r="P202" s="163">
        <f>'Absolute Volume'!P202/'Energy data by fuel cycle'!$G$16</f>
        <v>0</v>
      </c>
      <c r="Q202" s="147">
        <f>'Absolute Volume'!Q202/'Energy data by fuel cycle'!$G$16</f>
        <v>0</v>
      </c>
      <c r="R202" s="148">
        <f>'Absolute Volume'!R202/'Energy data by fuel cycle'!$G$16</f>
        <v>0</v>
      </c>
      <c r="S202" s="165">
        <f>'Absolute Volume'!S202/'Energy data by fuel cycle'!$G$16</f>
        <v>0</v>
      </c>
      <c r="T202" s="77"/>
    </row>
    <row r="203" spans="1:20" s="11" customFormat="1" ht="14" customHeight="1">
      <c r="A203" s="77"/>
      <c r="B203" s="755"/>
      <c r="C203" s="129" t="s">
        <v>8</v>
      </c>
      <c r="D203" s="130" t="s">
        <v>0</v>
      </c>
      <c r="E203" s="476">
        <f>'Absolute Volume'!E203/'Energy data by fuel cycle'!$G$16</f>
        <v>1.8958788887119056E-3</v>
      </c>
      <c r="F203" s="157">
        <f>'Absolute Volume'!F203/'Energy data by fuel cycle'!$G$16</f>
        <v>1.8958788887119056E-2</v>
      </c>
      <c r="G203" s="157">
        <f>'Absolute Volume'!G203/'Energy data by fuel cycle'!$G$16</f>
        <v>0</v>
      </c>
      <c r="H203" s="157">
        <f>'Absolute Volume'!H203/'Energy data by fuel cycle'!$G$16</f>
        <v>0</v>
      </c>
      <c r="I203" s="157">
        <f>'Absolute Volume'!I203/'Energy data by fuel cycle'!$G$16</f>
        <v>0</v>
      </c>
      <c r="J203" s="157">
        <f>'Absolute Volume'!J203/'Energy data by fuel cycle'!$G$16</f>
        <v>0</v>
      </c>
      <c r="K203" s="158">
        <f>'Absolute Volume'!K203/'Energy data by fuel cycle'!$G$16</f>
        <v>0</v>
      </c>
      <c r="L203" s="158">
        <f>'Absolute Volume'!L203/'Energy data by fuel cycle'!$G$16</f>
        <v>0</v>
      </c>
      <c r="M203" s="157">
        <f>'Absolute Volume'!M203/'Energy data by fuel cycle'!$G$16</f>
        <v>0</v>
      </c>
      <c r="N203" s="157">
        <f>'Absolute Volume'!N203/'Energy data by fuel cycle'!$G$16</f>
        <v>0</v>
      </c>
      <c r="O203" s="157">
        <f>'Absolute Volume'!O203/'Energy data by fuel cycle'!$G$16</f>
        <v>0</v>
      </c>
      <c r="P203" s="157">
        <f>'Absolute Volume'!P203/'Energy data by fuel cycle'!$G$16</f>
        <v>0</v>
      </c>
      <c r="Q203" s="78">
        <f>'Absolute Volume'!Q203/'Energy data by fuel cycle'!$G$16</f>
        <v>1.8958788887119056E-3</v>
      </c>
      <c r="R203" s="132">
        <f>'Absolute Volume'!R203/'Energy data by fuel cycle'!$G$16</f>
        <v>1.8958788887119056E-2</v>
      </c>
      <c r="S203" s="159">
        <f>'Absolute Volume'!S203/'Energy data by fuel cycle'!$G$16</f>
        <v>0</v>
      </c>
      <c r="T203" s="77"/>
    </row>
    <row r="204" spans="1:20" s="11" customFormat="1" ht="14" customHeight="1">
      <c r="A204" s="77"/>
      <c r="B204" s="755"/>
      <c r="C204" s="129" t="s">
        <v>8</v>
      </c>
      <c r="D204" s="134" t="s">
        <v>7</v>
      </c>
      <c r="E204" s="476">
        <f>'Absolute Volume'!E204/'Energy data by fuel cycle'!$G$16</f>
        <v>0</v>
      </c>
      <c r="F204" s="157">
        <f>'Absolute Volume'!F204/'Energy data by fuel cycle'!$G$16</f>
        <v>0</v>
      </c>
      <c r="G204" s="157">
        <f>'Absolute Volume'!G204/'Energy data by fuel cycle'!$G$16</f>
        <v>0</v>
      </c>
      <c r="H204" s="157">
        <f>'Absolute Volume'!H204/'Energy data by fuel cycle'!$G$16</f>
        <v>0</v>
      </c>
      <c r="I204" s="157">
        <f>'Absolute Volume'!I204/'Energy data by fuel cycle'!$G$16</f>
        <v>0</v>
      </c>
      <c r="J204" s="157">
        <f>'Absolute Volume'!J204/'Energy data by fuel cycle'!$G$16</f>
        <v>0</v>
      </c>
      <c r="K204" s="158">
        <f>'Absolute Volume'!K204/'Energy data by fuel cycle'!$G$16</f>
        <v>0</v>
      </c>
      <c r="L204" s="158">
        <f>'Absolute Volume'!L204/'Energy data by fuel cycle'!$G$16</f>
        <v>0</v>
      </c>
      <c r="M204" s="157">
        <f>'Absolute Volume'!M204/'Energy data by fuel cycle'!$G$16</f>
        <v>0</v>
      </c>
      <c r="N204" s="157">
        <f>'Absolute Volume'!N204/'Energy data by fuel cycle'!$G$16</f>
        <v>0</v>
      </c>
      <c r="O204" s="157">
        <f>'Absolute Volume'!O204/'Energy data by fuel cycle'!$G$16</f>
        <v>0</v>
      </c>
      <c r="P204" s="157">
        <f>'Absolute Volume'!P204/'Energy data by fuel cycle'!$G$16</f>
        <v>0</v>
      </c>
      <c r="Q204" s="78">
        <f>'Absolute Volume'!Q204/'Energy data by fuel cycle'!$G$16</f>
        <v>0</v>
      </c>
      <c r="R204" s="132">
        <f>'Absolute Volume'!R204/'Energy data by fuel cycle'!$G$16</f>
        <v>0</v>
      </c>
      <c r="S204" s="159">
        <f>'Absolute Volume'!S204/'Energy data by fuel cycle'!$G$16</f>
        <v>0</v>
      </c>
      <c r="T204" s="77"/>
    </row>
    <row r="205" spans="1:20" s="11" customFormat="1" ht="14" customHeight="1">
      <c r="A205" s="77"/>
      <c r="B205" s="755"/>
      <c r="C205" s="129" t="s">
        <v>8</v>
      </c>
      <c r="D205" s="135" t="s">
        <v>1</v>
      </c>
      <c r="E205" s="476">
        <f>'Absolute Volume'!E205/'Energy data by fuel cycle'!$G$16</f>
        <v>0</v>
      </c>
      <c r="F205" s="157">
        <f>'Absolute Volume'!F205/'Energy data by fuel cycle'!$G$16</f>
        <v>0</v>
      </c>
      <c r="G205" s="157">
        <f>'Absolute Volume'!G205/'Energy data by fuel cycle'!$G$16</f>
        <v>0</v>
      </c>
      <c r="H205" s="157">
        <f>'Absolute Volume'!H205/'Energy data by fuel cycle'!$G$16</f>
        <v>0</v>
      </c>
      <c r="I205" s="157">
        <f>'Absolute Volume'!I205/'Energy data by fuel cycle'!$G$16</f>
        <v>0</v>
      </c>
      <c r="J205" s="157">
        <f>'Absolute Volume'!J205/'Energy data by fuel cycle'!$G$16</f>
        <v>0</v>
      </c>
      <c r="K205" s="158">
        <f>'Absolute Volume'!K205/'Energy data by fuel cycle'!$G$16</f>
        <v>0</v>
      </c>
      <c r="L205" s="158">
        <f>'Absolute Volume'!L205/'Energy data by fuel cycle'!$G$16</f>
        <v>0</v>
      </c>
      <c r="M205" s="157">
        <f>'Absolute Volume'!M205/'Energy data by fuel cycle'!$G$16</f>
        <v>0</v>
      </c>
      <c r="N205" s="157">
        <f>'Absolute Volume'!N205/'Energy data by fuel cycle'!$G$16</f>
        <v>0</v>
      </c>
      <c r="O205" s="157">
        <f>'Absolute Volume'!O205/'Energy data by fuel cycle'!$G$16</f>
        <v>0</v>
      </c>
      <c r="P205" s="157">
        <f>'Absolute Volume'!P205/'Energy data by fuel cycle'!$G$16</f>
        <v>0</v>
      </c>
      <c r="Q205" s="78">
        <f>'Absolute Volume'!Q205/'Energy data by fuel cycle'!$G$16</f>
        <v>0</v>
      </c>
      <c r="R205" s="132">
        <f>'Absolute Volume'!R205/'Energy data by fuel cycle'!$G$16</f>
        <v>0</v>
      </c>
      <c r="S205" s="159">
        <f>'Absolute Volume'!S205/'Energy data by fuel cycle'!$G$16</f>
        <v>0</v>
      </c>
      <c r="T205" s="77"/>
    </row>
    <row r="206" spans="1:20" s="11" customFormat="1" ht="14" customHeight="1">
      <c r="A206" s="77"/>
      <c r="B206" s="755"/>
      <c r="C206" s="136" t="s">
        <v>8</v>
      </c>
      <c r="D206" s="137" t="s">
        <v>13</v>
      </c>
      <c r="E206" s="478">
        <f>'Absolute Volume'!E206/'Energy data by fuel cycle'!$G$16</f>
        <v>0</v>
      </c>
      <c r="F206" s="160">
        <f>'Absolute Volume'!F206/'Energy data by fuel cycle'!$G$16</f>
        <v>0</v>
      </c>
      <c r="G206" s="160">
        <f>'Absolute Volume'!G206/'Energy data by fuel cycle'!$G$16</f>
        <v>0</v>
      </c>
      <c r="H206" s="160">
        <f>'Absolute Volume'!H206/'Energy data by fuel cycle'!$G$16</f>
        <v>0</v>
      </c>
      <c r="I206" s="160">
        <f>'Absolute Volume'!I206/'Energy data by fuel cycle'!$G$16</f>
        <v>0</v>
      </c>
      <c r="J206" s="160">
        <f>'Absolute Volume'!J206/'Energy data by fuel cycle'!$G$16</f>
        <v>0</v>
      </c>
      <c r="K206" s="161">
        <f>'Absolute Volume'!K206/'Energy data by fuel cycle'!$G$16</f>
        <v>0</v>
      </c>
      <c r="L206" s="161">
        <f>'Absolute Volume'!L206/'Energy data by fuel cycle'!$G$16</f>
        <v>0</v>
      </c>
      <c r="M206" s="160">
        <f>'Absolute Volume'!M206/'Energy data by fuel cycle'!$G$16</f>
        <v>0</v>
      </c>
      <c r="N206" s="160">
        <f>'Absolute Volume'!N206/'Energy data by fuel cycle'!$G$16</f>
        <v>0</v>
      </c>
      <c r="O206" s="160">
        <f>'Absolute Volume'!O206/'Energy data by fuel cycle'!$G$16</f>
        <v>0</v>
      </c>
      <c r="P206" s="160">
        <f>'Absolute Volume'!P206/'Energy data by fuel cycle'!$G$16</f>
        <v>0</v>
      </c>
      <c r="Q206" s="139">
        <f>'Absolute Volume'!Q206/'Energy data by fuel cycle'!$G$16</f>
        <v>0</v>
      </c>
      <c r="R206" s="140">
        <f>'Absolute Volume'!R206/'Energy data by fuel cycle'!$G$16</f>
        <v>0</v>
      </c>
      <c r="S206" s="162">
        <f>'Absolute Volume'!S206/'Energy data by fuel cycle'!$G$16</f>
        <v>0</v>
      </c>
      <c r="T206" s="77"/>
    </row>
    <row r="207" spans="1:20" s="11" customFormat="1" ht="14" customHeight="1">
      <c r="A207" s="77"/>
      <c r="B207" s="755"/>
      <c r="C207" s="150" t="s">
        <v>10</v>
      </c>
      <c r="D207" s="143" t="s">
        <v>0</v>
      </c>
      <c r="E207" s="476">
        <f>'Absolute Volume'!E207/'Energy data by fuel cycle'!$G$16</f>
        <v>0</v>
      </c>
      <c r="F207" s="157">
        <f>'Absolute Volume'!F207/'Energy data by fuel cycle'!$G$16</f>
        <v>0</v>
      </c>
      <c r="G207" s="157">
        <f>'Absolute Volume'!G207/'Energy data by fuel cycle'!$G$16</f>
        <v>0</v>
      </c>
      <c r="H207" s="157">
        <f>'Absolute Volume'!H207/'Energy data by fuel cycle'!$G$16</f>
        <v>0</v>
      </c>
      <c r="I207" s="157">
        <f>'Absolute Volume'!I207/'Energy data by fuel cycle'!$G$16</f>
        <v>0</v>
      </c>
      <c r="J207" s="157">
        <f>'Absolute Volume'!J207/'Energy data by fuel cycle'!$G$16</f>
        <v>0</v>
      </c>
      <c r="K207" s="158">
        <f>'Absolute Volume'!K207/'Energy data by fuel cycle'!$G$16</f>
        <v>0</v>
      </c>
      <c r="L207" s="158">
        <f>'Absolute Volume'!L207/'Energy data by fuel cycle'!$G$16</f>
        <v>0</v>
      </c>
      <c r="M207" s="157">
        <f>'Absolute Volume'!M207/'Energy data by fuel cycle'!$G$16</f>
        <v>0</v>
      </c>
      <c r="N207" s="157">
        <f>'Absolute Volume'!N207/'Energy data by fuel cycle'!$G$16</f>
        <v>0</v>
      </c>
      <c r="O207" s="157">
        <f>'Absolute Volume'!O207/'Energy data by fuel cycle'!$G$16</f>
        <v>0</v>
      </c>
      <c r="P207" s="157">
        <f>'Absolute Volume'!P207/'Energy data by fuel cycle'!$G$16</f>
        <v>0</v>
      </c>
      <c r="Q207" s="78">
        <f>'Absolute Volume'!Q207/'Energy data by fuel cycle'!$G$16</f>
        <v>0</v>
      </c>
      <c r="R207" s="132">
        <f>'Absolute Volume'!R207/'Energy data by fuel cycle'!$G$16</f>
        <v>0</v>
      </c>
      <c r="S207" s="159">
        <f>'Absolute Volume'!S207/'Energy data by fuel cycle'!$G$16</f>
        <v>0</v>
      </c>
      <c r="T207" s="77"/>
    </row>
    <row r="208" spans="1:20" s="11" customFormat="1" ht="14" customHeight="1">
      <c r="A208" s="77"/>
      <c r="B208" s="755"/>
      <c r="C208" s="150" t="s">
        <v>10</v>
      </c>
      <c r="D208" s="134" t="s">
        <v>7</v>
      </c>
      <c r="E208" s="476">
        <f>'Absolute Volume'!E208/'Energy data by fuel cycle'!$G$16</f>
        <v>0</v>
      </c>
      <c r="F208" s="157">
        <f>'Absolute Volume'!F208/'Energy data by fuel cycle'!$G$16</f>
        <v>0</v>
      </c>
      <c r="G208" s="157">
        <f>'Absolute Volume'!G208/'Energy data by fuel cycle'!$G$16</f>
        <v>0</v>
      </c>
      <c r="H208" s="157">
        <f>'Absolute Volume'!H208/'Energy data by fuel cycle'!$G$16</f>
        <v>0</v>
      </c>
      <c r="I208" s="157">
        <f>'Absolute Volume'!I208/'Energy data by fuel cycle'!$G$16</f>
        <v>0</v>
      </c>
      <c r="J208" s="157">
        <f>'Absolute Volume'!J208/'Energy data by fuel cycle'!$G$16</f>
        <v>0</v>
      </c>
      <c r="K208" s="158">
        <f>'Absolute Volume'!K208/'Energy data by fuel cycle'!$G$16</f>
        <v>0</v>
      </c>
      <c r="L208" s="158">
        <f>'Absolute Volume'!L208/'Energy data by fuel cycle'!$G$16</f>
        <v>0</v>
      </c>
      <c r="M208" s="157">
        <f>'Absolute Volume'!M208/'Energy data by fuel cycle'!$G$16</f>
        <v>0</v>
      </c>
      <c r="N208" s="157">
        <f>'Absolute Volume'!N208/'Energy data by fuel cycle'!$G$16</f>
        <v>0</v>
      </c>
      <c r="O208" s="157">
        <f>'Absolute Volume'!O208/'Energy data by fuel cycle'!$G$16</f>
        <v>0</v>
      </c>
      <c r="P208" s="157">
        <f>'Absolute Volume'!P208/'Energy data by fuel cycle'!$G$16</f>
        <v>0</v>
      </c>
      <c r="Q208" s="78">
        <f>'Absolute Volume'!Q208/'Energy data by fuel cycle'!$G$16</f>
        <v>0</v>
      </c>
      <c r="R208" s="132">
        <f>'Absolute Volume'!R208/'Energy data by fuel cycle'!$G$16</f>
        <v>0</v>
      </c>
      <c r="S208" s="159">
        <f>'Absolute Volume'!S208/'Energy data by fuel cycle'!$G$16</f>
        <v>0</v>
      </c>
      <c r="T208" s="77"/>
    </row>
    <row r="209" spans="1:20" s="11" customFormat="1" ht="14" customHeight="1">
      <c r="A209" s="77"/>
      <c r="B209" s="755"/>
      <c r="C209" s="150" t="s">
        <v>10</v>
      </c>
      <c r="D209" s="135" t="s">
        <v>1</v>
      </c>
      <c r="E209" s="476">
        <f>'Absolute Volume'!E209/'Energy data by fuel cycle'!$G$16</f>
        <v>0</v>
      </c>
      <c r="F209" s="157">
        <f>'Absolute Volume'!F209/'Energy data by fuel cycle'!$G$16</f>
        <v>0</v>
      </c>
      <c r="G209" s="157">
        <f>'Absolute Volume'!G209/'Energy data by fuel cycle'!$G$16</f>
        <v>0</v>
      </c>
      <c r="H209" s="157">
        <f>'Absolute Volume'!H209/'Energy data by fuel cycle'!$G$16</f>
        <v>0</v>
      </c>
      <c r="I209" s="157">
        <f>'Absolute Volume'!I209/'Energy data by fuel cycle'!$G$16</f>
        <v>0</v>
      </c>
      <c r="J209" s="157">
        <f>'Absolute Volume'!J209/'Energy data by fuel cycle'!$G$16</f>
        <v>0</v>
      </c>
      <c r="K209" s="158">
        <f>'Absolute Volume'!K209/'Energy data by fuel cycle'!$G$16</f>
        <v>0</v>
      </c>
      <c r="L209" s="158">
        <f>'Absolute Volume'!L209/'Energy data by fuel cycle'!$G$16</f>
        <v>0</v>
      </c>
      <c r="M209" s="157">
        <f>'Absolute Volume'!M209/'Energy data by fuel cycle'!$G$16</f>
        <v>0</v>
      </c>
      <c r="N209" s="157">
        <f>'Absolute Volume'!N209/'Energy data by fuel cycle'!$G$16</f>
        <v>0</v>
      </c>
      <c r="O209" s="157">
        <f>'Absolute Volume'!O209/'Energy data by fuel cycle'!$G$16</f>
        <v>0</v>
      </c>
      <c r="P209" s="157">
        <f>'Absolute Volume'!P209/'Energy data by fuel cycle'!$G$16</f>
        <v>0</v>
      </c>
      <c r="Q209" s="78">
        <f>'Absolute Volume'!Q209/'Energy data by fuel cycle'!$G$16</f>
        <v>0</v>
      </c>
      <c r="R209" s="132">
        <f>'Absolute Volume'!R209/'Energy data by fuel cycle'!$G$16</f>
        <v>0</v>
      </c>
      <c r="S209" s="159">
        <f>'Absolute Volume'!S209/'Energy data by fuel cycle'!$G$16</f>
        <v>0</v>
      </c>
      <c r="T209" s="77"/>
    </row>
    <row r="210" spans="1:20" s="11" customFormat="1" ht="14" customHeight="1" thickBot="1">
      <c r="A210" s="77"/>
      <c r="B210" s="755"/>
      <c r="C210" s="150" t="s">
        <v>10</v>
      </c>
      <c r="D210" s="166" t="s">
        <v>13</v>
      </c>
      <c r="E210" s="476">
        <f>'Absolute Volume'!E210/'Energy data by fuel cycle'!$G$16</f>
        <v>0</v>
      </c>
      <c r="F210" s="157">
        <f>'Absolute Volume'!F210/'Energy data by fuel cycle'!$G$16</f>
        <v>0</v>
      </c>
      <c r="G210" s="157">
        <f>'Absolute Volume'!G210/'Energy data by fuel cycle'!$G$16</f>
        <v>0</v>
      </c>
      <c r="H210" s="157">
        <f>'Absolute Volume'!H210/'Energy data by fuel cycle'!$G$16</f>
        <v>0</v>
      </c>
      <c r="I210" s="157">
        <f>'Absolute Volume'!I210/'Energy data by fuel cycle'!$G$16</f>
        <v>0</v>
      </c>
      <c r="J210" s="157">
        <f>'Absolute Volume'!J210/'Energy data by fuel cycle'!$G$16</f>
        <v>0</v>
      </c>
      <c r="K210" s="158">
        <f>'Absolute Volume'!K210/'Energy data by fuel cycle'!$G$16</f>
        <v>0</v>
      </c>
      <c r="L210" s="158">
        <f>'Absolute Volume'!L210/'Energy data by fuel cycle'!$G$16</f>
        <v>0</v>
      </c>
      <c r="M210" s="157">
        <f>'Absolute Volume'!M210/'Energy data by fuel cycle'!$G$16</f>
        <v>0</v>
      </c>
      <c r="N210" s="157">
        <f>'Absolute Volume'!N210/'Energy data by fuel cycle'!$G$16</f>
        <v>0</v>
      </c>
      <c r="O210" s="157">
        <f>'Absolute Volume'!O210/'Energy data by fuel cycle'!$G$16</f>
        <v>0</v>
      </c>
      <c r="P210" s="157">
        <f>'Absolute Volume'!P210/'Energy data by fuel cycle'!$G$16</f>
        <v>0</v>
      </c>
      <c r="Q210" s="78">
        <f>'Absolute Volume'!Q210/'Energy data by fuel cycle'!$G$16</f>
        <v>0</v>
      </c>
      <c r="R210" s="132">
        <f>'Absolute Volume'!R210/'Energy data by fuel cycle'!$G$16</f>
        <v>0</v>
      </c>
      <c r="S210" s="159">
        <f>'Absolute Volume'!S210/'Energy data by fuel cycle'!$G$16</f>
        <v>0</v>
      </c>
      <c r="T210" s="77"/>
    </row>
    <row r="211" spans="1:20" s="75" customFormat="1" ht="30" customHeight="1" thickBot="1">
      <c r="A211" s="115"/>
      <c r="B211" s="762" t="s">
        <v>385</v>
      </c>
      <c r="C211" s="763"/>
      <c r="D211" s="763"/>
      <c r="E211" s="763"/>
      <c r="F211" s="763"/>
      <c r="G211" s="763"/>
      <c r="H211" s="763"/>
      <c r="I211" s="763"/>
      <c r="J211" s="763"/>
      <c r="K211" s="763"/>
      <c r="L211" s="763"/>
      <c r="M211" s="763"/>
      <c r="N211" s="763"/>
      <c r="O211" s="763"/>
      <c r="P211" s="763"/>
      <c r="Q211" s="763"/>
      <c r="R211" s="763"/>
      <c r="S211" s="764"/>
      <c r="T211" s="115"/>
    </row>
    <row r="212" spans="1:20" s="11" customFormat="1" ht="14" customHeight="1">
      <c r="A212" s="77"/>
      <c r="B212" s="755" t="s">
        <v>856</v>
      </c>
      <c r="C212" s="120"/>
      <c r="D212" s="156"/>
      <c r="E212" s="759" t="s">
        <v>591</v>
      </c>
      <c r="F212" s="760"/>
      <c r="G212" s="756" t="s">
        <v>66</v>
      </c>
      <c r="H212" s="756"/>
      <c r="I212" s="742" t="s">
        <v>67</v>
      </c>
      <c r="J212" s="742"/>
      <c r="K212" s="743" t="s">
        <v>68</v>
      </c>
      <c r="L212" s="743"/>
      <c r="M212" s="744" t="s">
        <v>69</v>
      </c>
      <c r="N212" s="744"/>
      <c r="O212" s="745" t="s">
        <v>413</v>
      </c>
      <c r="P212" s="745"/>
      <c r="Q212" s="121" t="s">
        <v>763</v>
      </c>
      <c r="R212" s="122" t="s">
        <v>763</v>
      </c>
      <c r="S212" s="123" t="s">
        <v>763</v>
      </c>
      <c r="T212" s="77"/>
    </row>
    <row r="213" spans="1:20" s="11" customFormat="1" ht="14" customHeight="1">
      <c r="A213" s="77"/>
      <c r="B213" s="755"/>
      <c r="C213" s="120"/>
      <c r="D213" s="156"/>
      <c r="E213" s="469" t="s">
        <v>209</v>
      </c>
      <c r="F213" s="414" t="s">
        <v>208</v>
      </c>
      <c r="G213" s="414" t="s">
        <v>209</v>
      </c>
      <c r="H213" s="414" t="s">
        <v>208</v>
      </c>
      <c r="I213" s="414" t="s">
        <v>209</v>
      </c>
      <c r="J213" s="414" t="s">
        <v>208</v>
      </c>
      <c r="K213" s="414" t="s">
        <v>209</v>
      </c>
      <c r="L213" s="414" t="s">
        <v>208</v>
      </c>
      <c r="M213" s="414" t="s">
        <v>209</v>
      </c>
      <c r="N213" s="414" t="s">
        <v>208</v>
      </c>
      <c r="O213" s="414" t="s">
        <v>209</v>
      </c>
      <c r="P213" s="414" t="s">
        <v>208</v>
      </c>
      <c r="Q213" s="121" t="s">
        <v>209</v>
      </c>
      <c r="R213" s="468" t="s">
        <v>208</v>
      </c>
      <c r="S213" s="123" t="s">
        <v>413</v>
      </c>
      <c r="T213" s="77"/>
    </row>
    <row r="214" spans="1:20" s="11" customFormat="1" ht="28" customHeight="1">
      <c r="A214" s="77"/>
      <c r="B214" s="755"/>
      <c r="C214" s="124" t="s">
        <v>761</v>
      </c>
      <c r="D214" s="125" t="s">
        <v>762</v>
      </c>
      <c r="E214" s="126">
        <f t="shared" ref="E214:S214" si="13">SUM(E215:E226)</f>
        <v>5.6902254899484202E-2</v>
      </c>
      <c r="F214" s="126">
        <f t="shared" si="13"/>
        <v>5.6902254899484202E-2</v>
      </c>
      <c r="G214" s="126">
        <f t="shared" si="13"/>
        <v>0</v>
      </c>
      <c r="H214" s="126">
        <f t="shared" si="13"/>
        <v>0</v>
      </c>
      <c r="I214" s="126">
        <f t="shared" si="13"/>
        <v>0</v>
      </c>
      <c r="J214" s="126">
        <f t="shared" si="13"/>
        <v>0</v>
      </c>
      <c r="K214" s="126">
        <f t="shared" si="13"/>
        <v>8.0454145118975071E-2</v>
      </c>
      <c r="L214" s="126">
        <f t="shared" si="13"/>
        <v>3.3162246881051338</v>
      </c>
      <c r="M214" s="126">
        <f t="shared" si="13"/>
        <v>1.8834293816570415E-3</v>
      </c>
      <c r="N214" s="126">
        <f t="shared" si="13"/>
        <v>1.8834293816570415E-3</v>
      </c>
      <c r="O214" s="126">
        <f t="shared" si="13"/>
        <v>-5.5961296477100408E-2</v>
      </c>
      <c r="P214" s="126">
        <f t="shared" si="13"/>
        <v>-5.5961296477100408E-2</v>
      </c>
      <c r="Q214" s="79">
        <f t="shared" si="13"/>
        <v>0.13923982940011631</v>
      </c>
      <c r="R214" s="127">
        <f t="shared" si="13"/>
        <v>3.3750103723862752</v>
      </c>
      <c r="S214" s="128">
        <f t="shared" si="13"/>
        <v>-5.5961296477100408E-2</v>
      </c>
      <c r="T214" s="77"/>
    </row>
    <row r="215" spans="1:20" s="11" customFormat="1" ht="14" customHeight="1">
      <c r="A215" s="77"/>
      <c r="B215" s="755"/>
      <c r="C215" s="142" t="s">
        <v>9</v>
      </c>
      <c r="D215" s="143" t="s">
        <v>0</v>
      </c>
      <c r="E215" s="475">
        <f>'Absolute Volume'!E215/'Energy data by fuel cycle'!$G$17</f>
        <v>2.2760901959793682E-2</v>
      </c>
      <c r="F215" s="157">
        <f>'Absolute Volume'!F215/'Energy data by fuel cycle'!$G$17</f>
        <v>2.2760901959793682E-2</v>
      </c>
      <c r="G215" s="157">
        <f>'Absolute Volume'!G215/'Energy data by fuel cycle'!$G$17</f>
        <v>0</v>
      </c>
      <c r="H215" s="157">
        <f>'Absolute Volume'!H215/'Energy data by fuel cycle'!$G$17</f>
        <v>0</v>
      </c>
      <c r="I215" s="157">
        <f>'Absolute Volume'!I215/'Energy data by fuel cycle'!$G$17</f>
        <v>0</v>
      </c>
      <c r="J215" s="157">
        <f>'Absolute Volume'!J215/'Energy data by fuel cycle'!$G$17</f>
        <v>0</v>
      </c>
      <c r="K215" s="158">
        <f>'Absolute Volume'!K215/'Energy data by fuel cycle'!$G$17</f>
        <v>1.6350590686366333E-2</v>
      </c>
      <c r="L215" s="158">
        <f>'Absolute Volume'!L215/'Energy data by fuel cycle'!$G$17</f>
        <v>3.1789745124367053E-2</v>
      </c>
      <c r="M215" s="157">
        <f>'Absolute Volume'!M215/'Energy data by fuel cycle'!$G$17</f>
        <v>1.8067960606085018E-5</v>
      </c>
      <c r="N215" s="157">
        <f>'Absolute Volume'!N215/'Energy data by fuel cycle'!$G$17</f>
        <v>1.8067960606085018E-5</v>
      </c>
      <c r="O215" s="157">
        <f>'Absolute Volume'!O215/'Energy data by fuel cycle'!$G$17</f>
        <v>0</v>
      </c>
      <c r="P215" s="157">
        <f>'Absolute Volume'!P215/'Energy data by fuel cycle'!$G$17</f>
        <v>0</v>
      </c>
      <c r="Q215" s="78">
        <f>'Absolute Volume'!Q215/'Energy data by fuel cycle'!$G$17</f>
        <v>3.9129560606766103E-2</v>
      </c>
      <c r="R215" s="132">
        <f>'Absolute Volume'!R215/'Energy data by fuel cycle'!$G$17</f>
        <v>5.4568715044766812E-2</v>
      </c>
      <c r="S215" s="159">
        <f>'Absolute Volume'!S215/'Energy data by fuel cycle'!$G$17</f>
        <v>0</v>
      </c>
      <c r="T215" s="77"/>
    </row>
    <row r="216" spans="1:20" s="11" customFormat="1" ht="14" customHeight="1">
      <c r="A216" s="77"/>
      <c r="B216" s="755"/>
      <c r="C216" s="142" t="s">
        <v>9</v>
      </c>
      <c r="D216" s="134" t="s">
        <v>7</v>
      </c>
      <c r="E216" s="476">
        <f>'Absolute Volume'!E216/'Energy data by fuel cycle'!$G$17</f>
        <v>0</v>
      </c>
      <c r="F216" s="157">
        <f>'Absolute Volume'!F216/'Energy data by fuel cycle'!$G$17</f>
        <v>0</v>
      </c>
      <c r="G216" s="157">
        <f>'Absolute Volume'!G216/'Energy data by fuel cycle'!$G$17</f>
        <v>0</v>
      </c>
      <c r="H216" s="157">
        <f>'Absolute Volume'!H216/'Energy data by fuel cycle'!$G$17</f>
        <v>0</v>
      </c>
      <c r="I216" s="157">
        <f>'Absolute Volume'!I216/'Energy data by fuel cycle'!$G$17</f>
        <v>0</v>
      </c>
      <c r="J216" s="157">
        <f>'Absolute Volume'!J216/'Energy data by fuel cycle'!$G$17</f>
        <v>0</v>
      </c>
      <c r="K216" s="158">
        <f>'Absolute Volume'!K216/'Energy data by fuel cycle'!$G$17</f>
        <v>1.6033888432466677E-5</v>
      </c>
      <c r="L216" s="158">
        <f>'Absolute Volume'!L216/'Energy data by fuel cycle'!$G$17</f>
        <v>2.3190156962577393E-5</v>
      </c>
      <c r="M216" s="157">
        <f>'Absolute Volume'!M216/'Energy data by fuel cycle'!$G$17</f>
        <v>0</v>
      </c>
      <c r="N216" s="157">
        <f>'Absolute Volume'!N216/'Energy data by fuel cycle'!$G$17</f>
        <v>0</v>
      </c>
      <c r="O216" s="157">
        <f>'Absolute Volume'!O216/'Energy data by fuel cycle'!$G$17</f>
        <v>0</v>
      </c>
      <c r="P216" s="157">
        <f>'Absolute Volume'!P216/'Energy data by fuel cycle'!$G$17</f>
        <v>0</v>
      </c>
      <c r="Q216" s="78">
        <f>'Absolute Volume'!Q216/'Energy data by fuel cycle'!$G$17</f>
        <v>1.6033888432466677E-5</v>
      </c>
      <c r="R216" s="132">
        <f>'Absolute Volume'!R216/'Energy data by fuel cycle'!$G$17</f>
        <v>2.3190156962577393E-5</v>
      </c>
      <c r="S216" s="159">
        <f>'Absolute Volume'!S216/'Energy data by fuel cycle'!$G$17</f>
        <v>0</v>
      </c>
      <c r="T216" s="77"/>
    </row>
    <row r="217" spans="1:20" s="11" customFormat="1" ht="14" customHeight="1">
      <c r="A217" s="77"/>
      <c r="B217" s="755"/>
      <c r="C217" s="142" t="s">
        <v>9</v>
      </c>
      <c r="D217" s="135" t="s">
        <v>1</v>
      </c>
      <c r="E217" s="476">
        <f>'Absolute Volume'!E217/'Energy data by fuel cycle'!$G$17</f>
        <v>0</v>
      </c>
      <c r="F217" s="157">
        <f>'Absolute Volume'!F217/'Energy data by fuel cycle'!$G$17</f>
        <v>0</v>
      </c>
      <c r="G217" s="157">
        <f>'Absolute Volume'!G217/'Energy data by fuel cycle'!$G$17</f>
        <v>0</v>
      </c>
      <c r="H217" s="157">
        <f>'Absolute Volume'!H217/'Energy data by fuel cycle'!$G$17</f>
        <v>0</v>
      </c>
      <c r="I217" s="157">
        <f>'Absolute Volume'!I217/'Energy data by fuel cycle'!$G$17</f>
        <v>0</v>
      </c>
      <c r="J217" s="157">
        <f>'Absolute Volume'!J217/'Energy data by fuel cycle'!$G$17</f>
        <v>0</v>
      </c>
      <c r="K217" s="158">
        <f>'Absolute Volume'!K217/'Energy data by fuel cycle'!$G$17</f>
        <v>0</v>
      </c>
      <c r="L217" s="158">
        <f>'Absolute Volume'!L217/'Energy data by fuel cycle'!$G$17</f>
        <v>0</v>
      </c>
      <c r="M217" s="157">
        <f>'Absolute Volume'!M217/'Energy data by fuel cycle'!$G$17</f>
        <v>0</v>
      </c>
      <c r="N217" s="157">
        <f>'Absolute Volume'!N217/'Energy data by fuel cycle'!$G$17</f>
        <v>0</v>
      </c>
      <c r="O217" s="157">
        <f>'Absolute Volume'!O217/'Energy data by fuel cycle'!$G$17</f>
        <v>0</v>
      </c>
      <c r="P217" s="157">
        <f>'Absolute Volume'!P217/'Energy data by fuel cycle'!$G$17</f>
        <v>0</v>
      </c>
      <c r="Q217" s="78">
        <f>'Absolute Volume'!Q217/'Energy data by fuel cycle'!$G$17</f>
        <v>0</v>
      </c>
      <c r="R217" s="132">
        <f>'Absolute Volume'!R217/'Energy data by fuel cycle'!$G$17</f>
        <v>0</v>
      </c>
      <c r="S217" s="159">
        <f>'Absolute Volume'!S217/'Energy data by fuel cycle'!$G$17</f>
        <v>0</v>
      </c>
      <c r="T217" s="77"/>
    </row>
    <row r="218" spans="1:20" s="11" customFormat="1" ht="14" customHeight="1">
      <c r="A218" s="77"/>
      <c r="B218" s="755"/>
      <c r="C218" s="144" t="s">
        <v>9</v>
      </c>
      <c r="D218" s="145" t="s">
        <v>13</v>
      </c>
      <c r="E218" s="477">
        <f>'Absolute Volume'!E218/'Energy data by fuel cycle'!$G$17</f>
        <v>0</v>
      </c>
      <c r="F218" s="163">
        <f>'Absolute Volume'!F218/'Energy data by fuel cycle'!$G$17</f>
        <v>0</v>
      </c>
      <c r="G218" s="163">
        <f>'Absolute Volume'!G218/'Energy data by fuel cycle'!$G$17</f>
        <v>0</v>
      </c>
      <c r="H218" s="163">
        <f>'Absolute Volume'!H218/'Energy data by fuel cycle'!$G$17</f>
        <v>0</v>
      </c>
      <c r="I218" s="163">
        <f>'Absolute Volume'!I218/'Energy data by fuel cycle'!$G$17</f>
        <v>0</v>
      </c>
      <c r="J218" s="163">
        <f>'Absolute Volume'!J218/'Energy data by fuel cycle'!$G$17</f>
        <v>0</v>
      </c>
      <c r="K218" s="164">
        <f>'Absolute Volume'!K218/'Energy data by fuel cycle'!$G$17</f>
        <v>0</v>
      </c>
      <c r="L218" s="164">
        <f>'Absolute Volume'!L218/'Energy data by fuel cycle'!$G$17</f>
        <v>0</v>
      </c>
      <c r="M218" s="163">
        <f>'Absolute Volume'!M218/'Energy data by fuel cycle'!$G$17</f>
        <v>0</v>
      </c>
      <c r="N218" s="163">
        <f>'Absolute Volume'!N218/'Energy data by fuel cycle'!$G$17</f>
        <v>0</v>
      </c>
      <c r="O218" s="163">
        <f>'Absolute Volume'!O218/'Energy data by fuel cycle'!$G$17</f>
        <v>0</v>
      </c>
      <c r="P218" s="163">
        <f>'Absolute Volume'!P218/'Energy data by fuel cycle'!$G$17</f>
        <v>0</v>
      </c>
      <c r="Q218" s="147">
        <f>'Absolute Volume'!Q218/'Energy data by fuel cycle'!$G$17</f>
        <v>0</v>
      </c>
      <c r="R218" s="148">
        <f>'Absolute Volume'!R218/'Energy data by fuel cycle'!$G$17</f>
        <v>0</v>
      </c>
      <c r="S218" s="165">
        <f>'Absolute Volume'!S218/'Energy data by fuel cycle'!$G$17</f>
        <v>0</v>
      </c>
      <c r="T218" s="77"/>
    </row>
    <row r="219" spans="1:20" s="11" customFormat="1" ht="14" customHeight="1">
      <c r="A219" s="77"/>
      <c r="B219" s="755"/>
      <c r="C219" s="129" t="s">
        <v>8</v>
      </c>
      <c r="D219" s="130" t="s">
        <v>0</v>
      </c>
      <c r="E219" s="476">
        <f>'Absolute Volume'!E219/'Energy data by fuel cycle'!$G$17</f>
        <v>3.414135293969052E-2</v>
      </c>
      <c r="F219" s="157">
        <f>'Absolute Volume'!F219/'Energy data by fuel cycle'!$G$17</f>
        <v>3.414135293969052E-2</v>
      </c>
      <c r="G219" s="157">
        <f>'Absolute Volume'!G219/'Energy data by fuel cycle'!$G$17</f>
        <v>0</v>
      </c>
      <c r="H219" s="157">
        <f>'Absolute Volume'!H219/'Energy data by fuel cycle'!$G$17</f>
        <v>0</v>
      </c>
      <c r="I219" s="157">
        <f>'Absolute Volume'!I219/'Energy data by fuel cycle'!$G$17</f>
        <v>0</v>
      </c>
      <c r="J219" s="157">
        <f>'Absolute Volume'!J219/'Energy data by fuel cycle'!$G$17</f>
        <v>0</v>
      </c>
      <c r="K219" s="158">
        <f>'Absolute Volume'!K219/'Energy data by fuel cycle'!$G$17</f>
        <v>6.0549814108995861E-2</v>
      </c>
      <c r="L219" s="158">
        <f>'Absolute Volume'!L219/'Energy data by fuel cycle'!$G$17</f>
        <v>3.1156421337653435</v>
      </c>
      <c r="M219" s="157">
        <f>'Absolute Volume'!M219/'Energy data by fuel cycle'!$G$17</f>
        <v>1.8208818852045354E-3</v>
      </c>
      <c r="N219" s="157">
        <f>'Absolute Volume'!N219/'Energy data by fuel cycle'!$G$17</f>
        <v>1.8208818852045354E-3</v>
      </c>
      <c r="O219" s="157">
        <f>'Absolute Volume'!O219/'Energy data by fuel cycle'!$G$17</f>
        <v>-5.5961296477100408E-2</v>
      </c>
      <c r="P219" s="157">
        <f>'Absolute Volume'!P219/'Energy data by fuel cycle'!$G$17</f>
        <v>-5.5961296477100408E-2</v>
      </c>
      <c r="Q219" s="78">
        <f>'Absolute Volume'!Q219/'Energy data by fuel cycle'!$G$17</f>
        <v>9.6512048933890926E-2</v>
      </c>
      <c r="R219" s="132">
        <f>'Absolute Volume'!R219/'Energy data by fuel cycle'!$G$17</f>
        <v>3.1516043685902386</v>
      </c>
      <c r="S219" s="159">
        <f>'Absolute Volume'!S219/'Energy data by fuel cycle'!$G$17</f>
        <v>-5.5961296477100408E-2</v>
      </c>
      <c r="T219" s="77"/>
    </row>
    <row r="220" spans="1:20" s="11" customFormat="1" ht="14" customHeight="1">
      <c r="A220" s="77"/>
      <c r="B220" s="755"/>
      <c r="C220" s="129" t="s">
        <v>8</v>
      </c>
      <c r="D220" s="134" t="s">
        <v>7</v>
      </c>
      <c r="E220" s="476">
        <f>'Absolute Volume'!E220/'Energy data by fuel cycle'!$G$17</f>
        <v>0</v>
      </c>
      <c r="F220" s="157">
        <f>'Absolute Volume'!F220/'Energy data by fuel cycle'!$G$17</f>
        <v>0</v>
      </c>
      <c r="G220" s="157">
        <f>'Absolute Volume'!G220/'Energy data by fuel cycle'!$G$17</f>
        <v>0</v>
      </c>
      <c r="H220" s="157">
        <f>'Absolute Volume'!H220/'Energy data by fuel cycle'!$G$17</f>
        <v>0</v>
      </c>
      <c r="I220" s="157">
        <f>'Absolute Volume'!I220/'Energy data by fuel cycle'!$G$17</f>
        <v>0</v>
      </c>
      <c r="J220" s="157">
        <f>'Absolute Volume'!J220/'Energy data by fuel cycle'!$G$17</f>
        <v>0</v>
      </c>
      <c r="K220" s="158">
        <f>'Absolute Volume'!K220/'Energy data by fuel cycle'!$G$17</f>
        <v>2.486101196762848E-4</v>
      </c>
      <c r="L220" s="158">
        <f>'Absolute Volume'!L220/'Energy data by fuel cycle'!$G$17</f>
        <v>4.1259980091431364E-2</v>
      </c>
      <c r="M220" s="157">
        <f>'Absolute Volume'!M220/'Energy data by fuel cycle'!$G$17</f>
        <v>0</v>
      </c>
      <c r="N220" s="157">
        <f>'Absolute Volume'!N220/'Energy data by fuel cycle'!$G$17</f>
        <v>0</v>
      </c>
      <c r="O220" s="157">
        <f>'Absolute Volume'!O220/'Energy data by fuel cycle'!$G$17</f>
        <v>0</v>
      </c>
      <c r="P220" s="157">
        <f>'Absolute Volume'!P220/'Energy data by fuel cycle'!$G$17</f>
        <v>0</v>
      </c>
      <c r="Q220" s="78">
        <f>'Absolute Volume'!Q220/'Energy data by fuel cycle'!$G$17</f>
        <v>2.486101196762848E-4</v>
      </c>
      <c r="R220" s="132">
        <f>'Absolute Volume'!R220/'Energy data by fuel cycle'!$G$17</f>
        <v>4.1259980091431364E-2</v>
      </c>
      <c r="S220" s="159">
        <f>'Absolute Volume'!S220/'Energy data by fuel cycle'!$G$17</f>
        <v>0</v>
      </c>
      <c r="T220" s="77"/>
    </row>
    <row r="221" spans="1:20" s="11" customFormat="1" ht="14" customHeight="1">
      <c r="A221" s="77"/>
      <c r="B221" s="755"/>
      <c r="C221" s="129" t="s">
        <v>8</v>
      </c>
      <c r="D221" s="135" t="s">
        <v>1</v>
      </c>
      <c r="E221" s="476">
        <f>'Absolute Volume'!E221/'Energy data by fuel cycle'!$G$17</f>
        <v>0</v>
      </c>
      <c r="F221" s="157">
        <f>'Absolute Volume'!F221/'Energy data by fuel cycle'!$G$17</f>
        <v>0</v>
      </c>
      <c r="G221" s="157">
        <f>'Absolute Volume'!G221/'Energy data by fuel cycle'!$G$17</f>
        <v>0</v>
      </c>
      <c r="H221" s="157">
        <f>'Absolute Volume'!H221/'Energy data by fuel cycle'!$G$17</f>
        <v>0</v>
      </c>
      <c r="I221" s="157">
        <f>'Absolute Volume'!I221/'Energy data by fuel cycle'!$G$17</f>
        <v>0</v>
      </c>
      <c r="J221" s="157">
        <f>'Absolute Volume'!J221/'Energy data by fuel cycle'!$G$17</f>
        <v>0</v>
      </c>
      <c r="K221" s="158">
        <f>'Absolute Volume'!K221/'Energy data by fuel cycle'!$G$17</f>
        <v>3.3440662074316475E-4</v>
      </c>
      <c r="L221" s="158">
        <f>'Absolute Volume'!L221/'Energy data by fuel cycle'!$G$17</f>
        <v>4.9192853466112643E-2</v>
      </c>
      <c r="M221" s="157">
        <f>'Absolute Volume'!M221/'Energy data by fuel cycle'!$G$17</f>
        <v>0</v>
      </c>
      <c r="N221" s="157">
        <f>'Absolute Volume'!N221/'Energy data by fuel cycle'!$G$17</f>
        <v>0</v>
      </c>
      <c r="O221" s="157">
        <f>'Absolute Volume'!O221/'Energy data by fuel cycle'!$G$17</f>
        <v>0</v>
      </c>
      <c r="P221" s="157">
        <f>'Absolute Volume'!P221/'Energy data by fuel cycle'!$G$17</f>
        <v>0</v>
      </c>
      <c r="Q221" s="78">
        <f>'Absolute Volume'!Q221/'Energy data by fuel cycle'!$G$17</f>
        <v>3.3440662074316475E-4</v>
      </c>
      <c r="R221" s="132">
        <f>'Absolute Volume'!R221/'Energy data by fuel cycle'!$G$17</f>
        <v>4.9192853466112643E-2</v>
      </c>
      <c r="S221" s="159">
        <f>'Absolute Volume'!S221/'Energy data by fuel cycle'!$G$17</f>
        <v>0</v>
      </c>
      <c r="T221" s="77"/>
    </row>
    <row r="222" spans="1:20" s="11" customFormat="1" ht="14" customHeight="1">
      <c r="A222" s="77"/>
      <c r="B222" s="755"/>
      <c r="C222" s="136" t="s">
        <v>8</v>
      </c>
      <c r="D222" s="137" t="s">
        <v>13</v>
      </c>
      <c r="E222" s="478">
        <f>'Absolute Volume'!E222/'Energy data by fuel cycle'!$G$17</f>
        <v>0</v>
      </c>
      <c r="F222" s="160">
        <f>'Absolute Volume'!F222/'Energy data by fuel cycle'!$G$17</f>
        <v>0</v>
      </c>
      <c r="G222" s="160">
        <f>'Absolute Volume'!G222/'Energy data by fuel cycle'!$G$17</f>
        <v>0</v>
      </c>
      <c r="H222" s="160">
        <f>'Absolute Volume'!H222/'Energy data by fuel cycle'!$G$17</f>
        <v>0</v>
      </c>
      <c r="I222" s="160">
        <f>'Absolute Volume'!I222/'Energy data by fuel cycle'!$G$17</f>
        <v>0</v>
      </c>
      <c r="J222" s="160">
        <f>'Absolute Volume'!J222/'Energy data by fuel cycle'!$G$17</f>
        <v>0</v>
      </c>
      <c r="K222" s="161">
        <f>'Absolute Volume'!K222/'Energy data by fuel cycle'!$G$17</f>
        <v>0</v>
      </c>
      <c r="L222" s="161">
        <f>'Absolute Volume'!L222/'Energy data by fuel cycle'!$G$17</f>
        <v>0</v>
      </c>
      <c r="M222" s="160">
        <f>'Absolute Volume'!M222/'Energy data by fuel cycle'!$G$17</f>
        <v>0</v>
      </c>
      <c r="N222" s="160">
        <f>'Absolute Volume'!N222/'Energy data by fuel cycle'!$G$17</f>
        <v>0</v>
      </c>
      <c r="O222" s="160">
        <f>'Absolute Volume'!O222/'Energy data by fuel cycle'!$G$17</f>
        <v>0</v>
      </c>
      <c r="P222" s="160">
        <f>'Absolute Volume'!P222/'Energy data by fuel cycle'!$G$17</f>
        <v>0</v>
      </c>
      <c r="Q222" s="139">
        <f>'Absolute Volume'!Q222/'Energy data by fuel cycle'!$G$17</f>
        <v>0</v>
      </c>
      <c r="R222" s="140">
        <f>'Absolute Volume'!R222/'Energy data by fuel cycle'!$G$17</f>
        <v>0</v>
      </c>
      <c r="S222" s="162">
        <f>'Absolute Volume'!S222/'Energy data by fuel cycle'!$G$17</f>
        <v>0</v>
      </c>
      <c r="T222" s="77"/>
    </row>
    <row r="223" spans="1:20" s="11" customFormat="1" ht="14" customHeight="1">
      <c r="A223" s="77"/>
      <c r="B223" s="755"/>
      <c r="C223" s="150" t="s">
        <v>10</v>
      </c>
      <c r="D223" s="143" t="s">
        <v>0</v>
      </c>
      <c r="E223" s="476">
        <f>'Absolute Volume'!E223/'Energy data by fuel cycle'!$G$17</f>
        <v>0</v>
      </c>
      <c r="F223" s="157">
        <f>'Absolute Volume'!F223/'Energy data by fuel cycle'!$G$17</f>
        <v>0</v>
      </c>
      <c r="G223" s="157">
        <f>'Absolute Volume'!G223/'Energy data by fuel cycle'!$G$17</f>
        <v>0</v>
      </c>
      <c r="H223" s="157">
        <f>'Absolute Volume'!H223/'Energy data by fuel cycle'!$G$17</f>
        <v>0</v>
      </c>
      <c r="I223" s="157">
        <f>'Absolute Volume'!I223/'Energy data by fuel cycle'!$G$17</f>
        <v>0</v>
      </c>
      <c r="J223" s="157">
        <f>'Absolute Volume'!J223/'Energy data by fuel cycle'!$G$17</f>
        <v>0</v>
      </c>
      <c r="K223" s="158">
        <f>'Absolute Volume'!K223/'Energy data by fuel cycle'!$G$17</f>
        <v>2.9319312165154059E-3</v>
      </c>
      <c r="L223" s="158">
        <f>'Absolute Volume'!L223/'Energy data by fuel cycle'!$G$17</f>
        <v>7.6116698894194923E-2</v>
      </c>
      <c r="M223" s="157">
        <f>'Absolute Volume'!M223/'Energy data by fuel cycle'!$G$17</f>
        <v>4.4479535846421114E-5</v>
      </c>
      <c r="N223" s="157">
        <f>'Absolute Volume'!N223/'Energy data by fuel cycle'!$G$17</f>
        <v>4.4479535846421114E-5</v>
      </c>
      <c r="O223" s="157">
        <f>'Absolute Volume'!O223/'Energy data by fuel cycle'!$G$17</f>
        <v>0</v>
      </c>
      <c r="P223" s="157">
        <f>'Absolute Volume'!P223/'Energy data by fuel cycle'!$G$17</f>
        <v>0</v>
      </c>
      <c r="Q223" s="78">
        <f>'Absolute Volume'!Q223/'Energy data by fuel cycle'!$G$17</f>
        <v>2.976410752361827E-3</v>
      </c>
      <c r="R223" s="132">
        <f>'Absolute Volume'!R223/'Energy data by fuel cycle'!$G$17</f>
        <v>7.6161178430041332E-2</v>
      </c>
      <c r="S223" s="159">
        <f>'Absolute Volume'!S223/'Energy data by fuel cycle'!$G$17</f>
        <v>0</v>
      </c>
      <c r="T223" s="77"/>
    </row>
    <row r="224" spans="1:20" s="11" customFormat="1" ht="14" customHeight="1">
      <c r="A224" s="77"/>
      <c r="B224" s="755"/>
      <c r="C224" s="150" t="s">
        <v>10</v>
      </c>
      <c r="D224" s="134" t="s">
        <v>7</v>
      </c>
      <c r="E224" s="476">
        <f>'Absolute Volume'!E224/'Energy data by fuel cycle'!$G$17</f>
        <v>0</v>
      </c>
      <c r="F224" s="157">
        <f>'Absolute Volume'!F224/'Energy data by fuel cycle'!$G$17</f>
        <v>0</v>
      </c>
      <c r="G224" s="157">
        <f>'Absolute Volume'!G224/'Energy data by fuel cycle'!$G$17</f>
        <v>0</v>
      </c>
      <c r="H224" s="157">
        <f>'Absolute Volume'!H224/'Energy data by fuel cycle'!$G$17</f>
        <v>0</v>
      </c>
      <c r="I224" s="157">
        <f>'Absolute Volume'!I224/'Energy data by fuel cycle'!$G$17</f>
        <v>0</v>
      </c>
      <c r="J224" s="157">
        <f>'Absolute Volume'!J224/'Energy data by fuel cycle'!$G$17</f>
        <v>0</v>
      </c>
      <c r="K224" s="158">
        <f>'Absolute Volume'!K224/'Energy data by fuel cycle'!$G$17</f>
        <v>1.0054066570141264E-5</v>
      </c>
      <c r="L224" s="158">
        <f>'Absolute Volume'!L224/'Energy data by fuel cycle'!$G$17</f>
        <v>1.0038742444419613E-3</v>
      </c>
      <c r="M224" s="157">
        <f>'Absolute Volume'!M224/'Energy data by fuel cycle'!$G$17</f>
        <v>0</v>
      </c>
      <c r="N224" s="157">
        <f>'Absolute Volume'!N224/'Energy data by fuel cycle'!$G$17</f>
        <v>0</v>
      </c>
      <c r="O224" s="157">
        <f>'Absolute Volume'!O224/'Energy data by fuel cycle'!$G$17</f>
        <v>0</v>
      </c>
      <c r="P224" s="157">
        <f>'Absolute Volume'!P224/'Energy data by fuel cycle'!$G$17</f>
        <v>0</v>
      </c>
      <c r="Q224" s="78">
        <f>'Absolute Volume'!Q224/'Energy data by fuel cycle'!$G$17</f>
        <v>1.0054066570141264E-5</v>
      </c>
      <c r="R224" s="132">
        <f>'Absolute Volume'!R224/'Energy data by fuel cycle'!$G$17</f>
        <v>1.0038742444419613E-3</v>
      </c>
      <c r="S224" s="159">
        <f>'Absolute Volume'!S224/'Energy data by fuel cycle'!$G$17</f>
        <v>0</v>
      </c>
      <c r="T224" s="77"/>
    </row>
    <row r="225" spans="1:20" s="11" customFormat="1" ht="14" customHeight="1">
      <c r="A225" s="77"/>
      <c r="B225" s="755"/>
      <c r="C225" s="150" t="s">
        <v>10</v>
      </c>
      <c r="D225" s="135" t="s">
        <v>1</v>
      </c>
      <c r="E225" s="476">
        <f>'Absolute Volume'!E225/'Energy data by fuel cycle'!$G$17</f>
        <v>0</v>
      </c>
      <c r="F225" s="157">
        <f>'Absolute Volume'!F225/'Energy data by fuel cycle'!$G$17</f>
        <v>0</v>
      </c>
      <c r="G225" s="157">
        <f>'Absolute Volume'!G225/'Energy data by fuel cycle'!$G$17</f>
        <v>0</v>
      </c>
      <c r="H225" s="157">
        <f>'Absolute Volume'!H225/'Energy data by fuel cycle'!$G$17</f>
        <v>0</v>
      </c>
      <c r="I225" s="157">
        <f>'Absolute Volume'!I225/'Energy data by fuel cycle'!$G$17</f>
        <v>0</v>
      </c>
      <c r="J225" s="157">
        <f>'Absolute Volume'!J225/'Energy data by fuel cycle'!$G$17</f>
        <v>0</v>
      </c>
      <c r="K225" s="158">
        <f>'Absolute Volume'!K225/'Energy data by fuel cycle'!$G$17</f>
        <v>1.2704411675423754E-5</v>
      </c>
      <c r="L225" s="158">
        <f>'Absolute Volume'!L225/'Energy data by fuel cycle'!$G$17</f>
        <v>1.1962123622799811E-3</v>
      </c>
      <c r="M225" s="157">
        <f>'Absolute Volume'!M225/'Energy data by fuel cycle'!$G$17</f>
        <v>0</v>
      </c>
      <c r="N225" s="157">
        <f>'Absolute Volume'!N225/'Energy data by fuel cycle'!$G$17</f>
        <v>0</v>
      </c>
      <c r="O225" s="157">
        <f>'Absolute Volume'!O225/'Energy data by fuel cycle'!$G$17</f>
        <v>0</v>
      </c>
      <c r="P225" s="157">
        <f>'Absolute Volume'!P225/'Energy data by fuel cycle'!$G$17</f>
        <v>0</v>
      </c>
      <c r="Q225" s="78">
        <f>'Absolute Volume'!Q225/'Energy data by fuel cycle'!$G$17</f>
        <v>1.2704411675423754E-5</v>
      </c>
      <c r="R225" s="132">
        <f>'Absolute Volume'!R225/'Energy data by fuel cycle'!$G$17</f>
        <v>1.1962123622799811E-3</v>
      </c>
      <c r="S225" s="159">
        <f>'Absolute Volume'!S225/'Energy data by fuel cycle'!$G$17</f>
        <v>0</v>
      </c>
      <c r="T225" s="77"/>
    </row>
    <row r="226" spans="1:20" s="11" customFormat="1" ht="14" customHeight="1" thickBot="1">
      <c r="A226" s="77"/>
      <c r="B226" s="755"/>
      <c r="C226" s="150" t="s">
        <v>10</v>
      </c>
      <c r="D226" s="166" t="s">
        <v>13</v>
      </c>
      <c r="E226" s="476">
        <f>'Absolute Volume'!E226/'Energy data by fuel cycle'!$G$17</f>
        <v>0</v>
      </c>
      <c r="F226" s="157">
        <f>'Absolute Volume'!F226/'Energy data by fuel cycle'!$G$17</f>
        <v>0</v>
      </c>
      <c r="G226" s="157">
        <f>'Absolute Volume'!G226/'Energy data by fuel cycle'!$G$17</f>
        <v>0</v>
      </c>
      <c r="H226" s="157">
        <f>'Absolute Volume'!H226/'Energy data by fuel cycle'!$G$17</f>
        <v>0</v>
      </c>
      <c r="I226" s="157">
        <f>'Absolute Volume'!I226/'Energy data by fuel cycle'!$G$17</f>
        <v>0</v>
      </c>
      <c r="J226" s="157">
        <f>'Absolute Volume'!J226/'Energy data by fuel cycle'!$G$17</f>
        <v>0</v>
      </c>
      <c r="K226" s="158">
        <f>'Absolute Volume'!K226/'Energy data by fuel cycle'!$G$17</f>
        <v>0</v>
      </c>
      <c r="L226" s="158">
        <f>'Absolute Volume'!L226/'Energy data by fuel cycle'!$G$17</f>
        <v>0</v>
      </c>
      <c r="M226" s="157">
        <f>'Absolute Volume'!M226/'Energy data by fuel cycle'!$G$17</f>
        <v>0</v>
      </c>
      <c r="N226" s="157">
        <f>'Absolute Volume'!N226/'Energy data by fuel cycle'!$G$17</f>
        <v>0</v>
      </c>
      <c r="O226" s="157">
        <f>'Absolute Volume'!O226/'Energy data by fuel cycle'!$G$17</f>
        <v>0</v>
      </c>
      <c r="P226" s="157">
        <f>'Absolute Volume'!P226/'Energy data by fuel cycle'!$G$17</f>
        <v>0</v>
      </c>
      <c r="Q226" s="78">
        <f>'Absolute Volume'!Q226/'Energy data by fuel cycle'!$G$17</f>
        <v>0</v>
      </c>
      <c r="R226" s="132">
        <f>'Absolute Volume'!R226/'Energy data by fuel cycle'!$G$17</f>
        <v>0</v>
      </c>
      <c r="S226" s="159">
        <f>'Absolute Volume'!S226/'Energy data by fuel cycle'!$G$17</f>
        <v>0</v>
      </c>
      <c r="T226" s="77"/>
    </row>
    <row r="227" spans="1:20" s="75" customFormat="1" ht="30" customHeight="1" thickBot="1">
      <c r="A227" s="115"/>
      <c r="B227" s="765" t="s">
        <v>374</v>
      </c>
      <c r="C227" s="766"/>
      <c r="D227" s="766"/>
      <c r="E227" s="766"/>
      <c r="F227" s="766"/>
      <c r="G227" s="766"/>
      <c r="H227" s="766"/>
      <c r="I227" s="766"/>
      <c r="J227" s="766"/>
      <c r="K227" s="766"/>
      <c r="L227" s="766"/>
      <c r="M227" s="766"/>
      <c r="N227" s="766"/>
      <c r="O227" s="766"/>
      <c r="P227" s="766"/>
      <c r="Q227" s="766"/>
      <c r="R227" s="766"/>
      <c r="S227" s="767"/>
      <c r="T227" s="115"/>
    </row>
    <row r="228" spans="1:20" s="11" customFormat="1" ht="14" customHeight="1">
      <c r="A228" s="77"/>
      <c r="B228" s="755" t="s">
        <v>856</v>
      </c>
      <c r="C228" s="120"/>
      <c r="D228" s="156"/>
      <c r="E228" s="759" t="s">
        <v>591</v>
      </c>
      <c r="F228" s="760"/>
      <c r="G228" s="756" t="s">
        <v>66</v>
      </c>
      <c r="H228" s="756"/>
      <c r="I228" s="742" t="s">
        <v>67</v>
      </c>
      <c r="J228" s="742"/>
      <c r="K228" s="743" t="s">
        <v>68</v>
      </c>
      <c r="L228" s="743"/>
      <c r="M228" s="744" t="s">
        <v>69</v>
      </c>
      <c r="N228" s="744"/>
      <c r="O228" s="745" t="s">
        <v>413</v>
      </c>
      <c r="P228" s="745"/>
      <c r="Q228" s="121" t="s">
        <v>763</v>
      </c>
      <c r="R228" s="122" t="s">
        <v>763</v>
      </c>
      <c r="S228" s="123" t="s">
        <v>763</v>
      </c>
      <c r="T228" s="77"/>
    </row>
    <row r="229" spans="1:20" s="11" customFormat="1" ht="14" customHeight="1">
      <c r="A229" s="77"/>
      <c r="B229" s="755"/>
      <c r="C229" s="120"/>
      <c r="D229" s="156"/>
      <c r="E229" s="469" t="s">
        <v>209</v>
      </c>
      <c r="F229" s="414" t="s">
        <v>208</v>
      </c>
      <c r="G229" s="414" t="s">
        <v>209</v>
      </c>
      <c r="H229" s="414" t="s">
        <v>208</v>
      </c>
      <c r="I229" s="414" t="s">
        <v>209</v>
      </c>
      <c r="J229" s="414" t="s">
        <v>208</v>
      </c>
      <c r="K229" s="414" t="s">
        <v>209</v>
      </c>
      <c r="L229" s="414" t="s">
        <v>208</v>
      </c>
      <c r="M229" s="414" t="s">
        <v>209</v>
      </c>
      <c r="N229" s="414" t="s">
        <v>208</v>
      </c>
      <c r="O229" s="414" t="s">
        <v>209</v>
      </c>
      <c r="P229" s="414" t="s">
        <v>208</v>
      </c>
      <c r="Q229" s="121" t="s">
        <v>209</v>
      </c>
      <c r="R229" s="468" t="s">
        <v>208</v>
      </c>
      <c r="S229" s="123" t="s">
        <v>413</v>
      </c>
      <c r="T229" s="77"/>
    </row>
    <row r="230" spans="1:20" s="11" customFormat="1" ht="28" customHeight="1">
      <c r="A230" s="77"/>
      <c r="B230" s="755"/>
      <c r="C230" s="124" t="s">
        <v>761</v>
      </c>
      <c r="D230" s="125" t="s">
        <v>762</v>
      </c>
      <c r="E230" s="126">
        <f t="shared" ref="E230:S230" si="14">SUM(E231:E242)</f>
        <v>0</v>
      </c>
      <c r="F230" s="126">
        <f t="shared" si="14"/>
        <v>0</v>
      </c>
      <c r="G230" s="126">
        <f t="shared" si="14"/>
        <v>0</v>
      </c>
      <c r="H230" s="126">
        <f t="shared" si="14"/>
        <v>0</v>
      </c>
      <c r="I230" s="126">
        <f t="shared" si="14"/>
        <v>0</v>
      </c>
      <c r="J230" s="126">
        <f t="shared" si="14"/>
        <v>0</v>
      </c>
      <c r="K230" s="126">
        <f t="shared" si="14"/>
        <v>4.6029006905816468E-2</v>
      </c>
      <c r="L230" s="126">
        <f t="shared" si="14"/>
        <v>1.7149104708590979</v>
      </c>
      <c r="M230" s="126">
        <f t="shared" si="14"/>
        <v>0</v>
      </c>
      <c r="N230" s="126">
        <f t="shared" si="14"/>
        <v>0</v>
      </c>
      <c r="O230" s="126">
        <f t="shared" si="14"/>
        <v>-0.12771382730133901</v>
      </c>
      <c r="P230" s="126">
        <f t="shared" si="14"/>
        <v>-0.12771382730133901</v>
      </c>
      <c r="Q230" s="79">
        <f t="shared" si="14"/>
        <v>4.6029006905816468E-2</v>
      </c>
      <c r="R230" s="127">
        <f t="shared" si="14"/>
        <v>1.7149104708590979</v>
      </c>
      <c r="S230" s="128">
        <f t="shared" si="14"/>
        <v>-0.12771382730133901</v>
      </c>
      <c r="T230" s="77"/>
    </row>
    <row r="231" spans="1:20" s="11" customFormat="1" ht="14" customHeight="1">
      <c r="A231" s="77"/>
      <c r="B231" s="755"/>
      <c r="C231" s="142" t="s">
        <v>9</v>
      </c>
      <c r="D231" s="143" t="s">
        <v>0</v>
      </c>
      <c r="E231" s="475">
        <f>'Absolute Volume'!E231/'Energy data by fuel cycle'!$G$18</f>
        <v>0</v>
      </c>
      <c r="F231" s="157">
        <f>'Absolute Volume'!F231/'Energy data by fuel cycle'!$G$18</f>
        <v>0</v>
      </c>
      <c r="G231" s="157">
        <f>'Absolute Volume'!G231/'Energy data by fuel cycle'!$G$18</f>
        <v>0</v>
      </c>
      <c r="H231" s="157">
        <f>'Absolute Volume'!H231/'Energy data by fuel cycle'!$G$18</f>
        <v>0</v>
      </c>
      <c r="I231" s="157">
        <f>'Absolute Volume'!I231/'Energy data by fuel cycle'!$G$18</f>
        <v>0</v>
      </c>
      <c r="J231" s="157">
        <f>'Absolute Volume'!J231/'Energy data by fuel cycle'!$G$18</f>
        <v>0</v>
      </c>
      <c r="K231" s="158">
        <f>'Absolute Volume'!K231/'Energy data by fuel cycle'!$G$18</f>
        <v>7.0709139819789659E-3</v>
      </c>
      <c r="L231" s="158">
        <f>'Absolute Volume'!L231/'Energy data by fuel cycle'!$G$18</f>
        <v>1.3615782800000633E-2</v>
      </c>
      <c r="M231" s="157">
        <f>'Absolute Volume'!M231/'Energy data by fuel cycle'!$G$18</f>
        <v>0</v>
      </c>
      <c r="N231" s="157">
        <f>'Absolute Volume'!N231/'Energy data by fuel cycle'!$G$18</f>
        <v>0</v>
      </c>
      <c r="O231" s="157">
        <f>'Absolute Volume'!O231/'Energy data by fuel cycle'!$G$18</f>
        <v>0</v>
      </c>
      <c r="P231" s="157">
        <f>'Absolute Volume'!P231/'Energy data by fuel cycle'!$G$18</f>
        <v>0</v>
      </c>
      <c r="Q231" s="78">
        <f>'Absolute Volume'!Q231/'Energy data by fuel cycle'!$G$18</f>
        <v>7.0709139819789659E-3</v>
      </c>
      <c r="R231" s="132">
        <f>'Absolute Volume'!R231/'Energy data by fuel cycle'!$G$18</f>
        <v>1.3615782800000633E-2</v>
      </c>
      <c r="S231" s="159">
        <f>'Absolute Volume'!S231/'Energy data by fuel cycle'!$G$18</f>
        <v>0</v>
      </c>
      <c r="T231" s="77"/>
    </row>
    <row r="232" spans="1:20" s="11" customFormat="1" ht="14" customHeight="1">
      <c r="A232" s="77"/>
      <c r="B232" s="755"/>
      <c r="C232" s="142" t="s">
        <v>9</v>
      </c>
      <c r="D232" s="134" t="s">
        <v>7</v>
      </c>
      <c r="E232" s="476">
        <f>'Absolute Volume'!E232/'Energy data by fuel cycle'!$G$18</f>
        <v>0</v>
      </c>
      <c r="F232" s="157">
        <f>'Absolute Volume'!F232/'Energy data by fuel cycle'!$G$18</f>
        <v>0</v>
      </c>
      <c r="G232" s="157">
        <f>'Absolute Volume'!G232/'Energy data by fuel cycle'!$G$18</f>
        <v>0</v>
      </c>
      <c r="H232" s="157">
        <f>'Absolute Volume'!H232/'Energy data by fuel cycle'!$G$18</f>
        <v>0</v>
      </c>
      <c r="I232" s="157">
        <f>'Absolute Volume'!I232/'Energy data by fuel cycle'!$G$18</f>
        <v>0</v>
      </c>
      <c r="J232" s="157">
        <f>'Absolute Volume'!J232/'Energy data by fuel cycle'!$G$18</f>
        <v>0</v>
      </c>
      <c r="K232" s="158">
        <f>'Absolute Volume'!K232/'Energy data by fuel cycle'!$G$18</f>
        <v>0</v>
      </c>
      <c r="L232" s="158">
        <f>'Absolute Volume'!L232/'Energy data by fuel cycle'!$G$18</f>
        <v>0</v>
      </c>
      <c r="M232" s="157">
        <f>'Absolute Volume'!M232/'Energy data by fuel cycle'!$G$18</f>
        <v>0</v>
      </c>
      <c r="N232" s="157">
        <f>'Absolute Volume'!N232/'Energy data by fuel cycle'!$G$18</f>
        <v>0</v>
      </c>
      <c r="O232" s="157">
        <f>'Absolute Volume'!O232/'Energy data by fuel cycle'!$G$18</f>
        <v>0</v>
      </c>
      <c r="P232" s="157">
        <f>'Absolute Volume'!P232/'Energy data by fuel cycle'!$G$18</f>
        <v>0</v>
      </c>
      <c r="Q232" s="78">
        <f>'Absolute Volume'!Q232/'Energy data by fuel cycle'!$G$18</f>
        <v>0</v>
      </c>
      <c r="R232" s="132">
        <f>'Absolute Volume'!R232/'Energy data by fuel cycle'!$G$18</f>
        <v>0</v>
      </c>
      <c r="S232" s="159">
        <f>'Absolute Volume'!S232/'Energy data by fuel cycle'!$G$18</f>
        <v>0</v>
      </c>
      <c r="T232" s="77"/>
    </row>
    <row r="233" spans="1:20" s="11" customFormat="1" ht="14" customHeight="1">
      <c r="A233" s="77"/>
      <c r="B233" s="755"/>
      <c r="C233" s="142" t="s">
        <v>9</v>
      </c>
      <c r="D233" s="135" t="s">
        <v>1</v>
      </c>
      <c r="E233" s="476">
        <f>'Absolute Volume'!E233/'Energy data by fuel cycle'!$G$18</f>
        <v>0</v>
      </c>
      <c r="F233" s="157">
        <f>'Absolute Volume'!F233/'Energy data by fuel cycle'!$G$18</f>
        <v>0</v>
      </c>
      <c r="G233" s="157">
        <f>'Absolute Volume'!G233/'Energy data by fuel cycle'!$G$18</f>
        <v>0</v>
      </c>
      <c r="H233" s="157">
        <f>'Absolute Volume'!H233/'Energy data by fuel cycle'!$G$18</f>
        <v>0</v>
      </c>
      <c r="I233" s="157">
        <f>'Absolute Volume'!I233/'Energy data by fuel cycle'!$G$18</f>
        <v>0</v>
      </c>
      <c r="J233" s="157">
        <f>'Absolute Volume'!J233/'Energy data by fuel cycle'!$G$18</f>
        <v>0</v>
      </c>
      <c r="K233" s="158">
        <f>'Absolute Volume'!K233/'Energy data by fuel cycle'!$G$18</f>
        <v>0</v>
      </c>
      <c r="L233" s="158">
        <f>'Absolute Volume'!L233/'Energy data by fuel cycle'!$G$18</f>
        <v>0</v>
      </c>
      <c r="M233" s="157">
        <f>'Absolute Volume'!M233/'Energy data by fuel cycle'!$G$18</f>
        <v>0</v>
      </c>
      <c r="N233" s="157">
        <f>'Absolute Volume'!N233/'Energy data by fuel cycle'!$G$18</f>
        <v>0</v>
      </c>
      <c r="O233" s="157">
        <f>'Absolute Volume'!O233/'Energy data by fuel cycle'!$G$18</f>
        <v>0</v>
      </c>
      <c r="P233" s="157">
        <f>'Absolute Volume'!P233/'Energy data by fuel cycle'!$G$18</f>
        <v>0</v>
      </c>
      <c r="Q233" s="78">
        <f>'Absolute Volume'!Q233/'Energy data by fuel cycle'!$G$18</f>
        <v>0</v>
      </c>
      <c r="R233" s="132">
        <f>'Absolute Volume'!R233/'Energy data by fuel cycle'!$G$18</f>
        <v>0</v>
      </c>
      <c r="S233" s="159">
        <f>'Absolute Volume'!S233/'Energy data by fuel cycle'!$G$18</f>
        <v>0</v>
      </c>
      <c r="T233" s="77"/>
    </row>
    <row r="234" spans="1:20" s="11" customFormat="1" ht="14" customHeight="1">
      <c r="A234" s="77"/>
      <c r="B234" s="755"/>
      <c r="C234" s="144" t="s">
        <v>9</v>
      </c>
      <c r="D234" s="145" t="s">
        <v>13</v>
      </c>
      <c r="E234" s="477">
        <f>'Absolute Volume'!E234/'Energy data by fuel cycle'!$G$18</f>
        <v>0</v>
      </c>
      <c r="F234" s="163">
        <f>'Absolute Volume'!F234/'Energy data by fuel cycle'!$G$18</f>
        <v>0</v>
      </c>
      <c r="G234" s="163">
        <f>'Absolute Volume'!G234/'Energy data by fuel cycle'!$G$18</f>
        <v>0</v>
      </c>
      <c r="H234" s="163">
        <f>'Absolute Volume'!H234/'Energy data by fuel cycle'!$G$18</f>
        <v>0</v>
      </c>
      <c r="I234" s="163">
        <f>'Absolute Volume'!I234/'Energy data by fuel cycle'!$G$18</f>
        <v>0</v>
      </c>
      <c r="J234" s="163">
        <f>'Absolute Volume'!J234/'Energy data by fuel cycle'!$G$18</f>
        <v>0</v>
      </c>
      <c r="K234" s="164">
        <f>'Absolute Volume'!K234/'Energy data by fuel cycle'!$G$18</f>
        <v>0</v>
      </c>
      <c r="L234" s="164">
        <f>'Absolute Volume'!L234/'Energy data by fuel cycle'!$G$18</f>
        <v>0</v>
      </c>
      <c r="M234" s="163">
        <f>'Absolute Volume'!M234/'Energy data by fuel cycle'!$G$18</f>
        <v>0</v>
      </c>
      <c r="N234" s="163">
        <f>'Absolute Volume'!N234/'Energy data by fuel cycle'!$G$18</f>
        <v>0</v>
      </c>
      <c r="O234" s="163">
        <f>'Absolute Volume'!O234/'Energy data by fuel cycle'!$G$18</f>
        <v>0</v>
      </c>
      <c r="P234" s="163">
        <f>'Absolute Volume'!P234/'Energy data by fuel cycle'!$G$18</f>
        <v>0</v>
      </c>
      <c r="Q234" s="147">
        <f>'Absolute Volume'!Q234/'Energy data by fuel cycle'!$G$18</f>
        <v>0</v>
      </c>
      <c r="R234" s="148">
        <f>'Absolute Volume'!R234/'Energy data by fuel cycle'!$G$18</f>
        <v>0</v>
      </c>
      <c r="S234" s="165">
        <f>'Absolute Volume'!S234/'Energy data by fuel cycle'!$G$18</f>
        <v>0</v>
      </c>
      <c r="T234" s="77"/>
    </row>
    <row r="235" spans="1:20" s="11" customFormat="1" ht="14" customHeight="1">
      <c r="A235" s="77"/>
      <c r="B235" s="755"/>
      <c r="C235" s="129" t="s">
        <v>8</v>
      </c>
      <c r="D235" s="130" t="s">
        <v>0</v>
      </c>
      <c r="E235" s="476">
        <f>'Absolute Volume'!E235/'Energy data by fuel cycle'!$G$18</f>
        <v>0</v>
      </c>
      <c r="F235" s="157">
        <f>'Absolute Volume'!F235/'Energy data by fuel cycle'!$G$18</f>
        <v>0</v>
      </c>
      <c r="G235" s="157">
        <f>'Absolute Volume'!G235/'Energy data by fuel cycle'!$G$18</f>
        <v>0</v>
      </c>
      <c r="H235" s="157">
        <f>'Absolute Volume'!H235/'Energy data by fuel cycle'!$G$18</f>
        <v>0</v>
      </c>
      <c r="I235" s="157">
        <f>'Absolute Volume'!I235/'Energy data by fuel cycle'!$G$18</f>
        <v>0</v>
      </c>
      <c r="J235" s="157">
        <f>'Absolute Volume'!J235/'Energy data by fuel cycle'!$G$18</f>
        <v>0</v>
      </c>
      <c r="K235" s="158">
        <f>'Absolute Volume'!K235/'Energy data by fuel cycle'!$G$18</f>
        <v>3.4060718187142881E-2</v>
      </c>
      <c r="L235" s="158">
        <f>'Absolute Volume'!L235/'Energy data by fuel cycle'!$G$18</f>
        <v>1.6926885473167848</v>
      </c>
      <c r="M235" s="157">
        <f>'Absolute Volume'!M235/'Energy data by fuel cycle'!$G$18</f>
        <v>0</v>
      </c>
      <c r="N235" s="157">
        <f>'Absolute Volume'!N235/'Energy data by fuel cycle'!$G$18</f>
        <v>0</v>
      </c>
      <c r="O235" s="157">
        <f>'Absolute Volume'!O235/'Energy data by fuel cycle'!$G$18</f>
        <v>-0.12771382730133901</v>
      </c>
      <c r="P235" s="157">
        <f>'Absolute Volume'!P235/'Energy data by fuel cycle'!$G$18</f>
        <v>-0.12771382730133901</v>
      </c>
      <c r="Q235" s="78">
        <f>'Absolute Volume'!Q235/'Energy data by fuel cycle'!$G$18</f>
        <v>3.4060718187142881E-2</v>
      </c>
      <c r="R235" s="132">
        <f>'Absolute Volume'!R235/'Energy data by fuel cycle'!$G$18</f>
        <v>1.6926885473167848</v>
      </c>
      <c r="S235" s="159">
        <f>'Absolute Volume'!S235/'Energy data by fuel cycle'!$G$18</f>
        <v>-0.12771382730133901</v>
      </c>
      <c r="T235" s="77"/>
    </row>
    <row r="236" spans="1:20" s="11" customFormat="1" ht="14" customHeight="1">
      <c r="A236" s="77"/>
      <c r="B236" s="755"/>
      <c r="C236" s="129" t="s">
        <v>8</v>
      </c>
      <c r="D236" s="134" t="s">
        <v>7</v>
      </c>
      <c r="E236" s="476">
        <f>'Absolute Volume'!E236/'Energy data by fuel cycle'!$G$18</f>
        <v>0</v>
      </c>
      <c r="F236" s="157">
        <f>'Absolute Volume'!F236/'Energy data by fuel cycle'!$G$18</f>
        <v>0</v>
      </c>
      <c r="G236" s="157">
        <f>'Absolute Volume'!G236/'Energy data by fuel cycle'!$G$18</f>
        <v>0</v>
      </c>
      <c r="H236" s="157">
        <f>'Absolute Volume'!H236/'Energy data by fuel cycle'!$G$18</f>
        <v>0</v>
      </c>
      <c r="I236" s="157">
        <f>'Absolute Volume'!I236/'Energy data by fuel cycle'!$G$18</f>
        <v>0</v>
      </c>
      <c r="J236" s="157">
        <f>'Absolute Volume'!J236/'Energy data by fuel cycle'!$G$18</f>
        <v>0</v>
      </c>
      <c r="K236" s="158">
        <f>'Absolute Volume'!K236/'Energy data by fuel cycle'!$G$18</f>
        <v>0</v>
      </c>
      <c r="L236" s="158">
        <f>'Absolute Volume'!L236/'Energy data by fuel cycle'!$G$18</f>
        <v>0</v>
      </c>
      <c r="M236" s="157">
        <f>'Absolute Volume'!M236/'Energy data by fuel cycle'!$G$18</f>
        <v>0</v>
      </c>
      <c r="N236" s="157">
        <f>'Absolute Volume'!N236/'Energy data by fuel cycle'!$G$18</f>
        <v>0</v>
      </c>
      <c r="O236" s="157">
        <f>'Absolute Volume'!O236/'Energy data by fuel cycle'!$G$18</f>
        <v>0</v>
      </c>
      <c r="P236" s="157">
        <f>'Absolute Volume'!P236/'Energy data by fuel cycle'!$G$18</f>
        <v>0</v>
      </c>
      <c r="Q236" s="78">
        <f>'Absolute Volume'!Q236/'Energy data by fuel cycle'!$G$18</f>
        <v>0</v>
      </c>
      <c r="R236" s="132">
        <f>'Absolute Volume'!R236/'Energy data by fuel cycle'!$G$18</f>
        <v>0</v>
      </c>
      <c r="S236" s="159">
        <f>'Absolute Volume'!S236/'Energy data by fuel cycle'!$G$18</f>
        <v>0</v>
      </c>
      <c r="T236" s="77"/>
    </row>
    <row r="237" spans="1:20" s="11" customFormat="1" ht="14" customHeight="1">
      <c r="A237" s="77"/>
      <c r="B237" s="755"/>
      <c r="C237" s="129" t="s">
        <v>8</v>
      </c>
      <c r="D237" s="135" t="s">
        <v>1</v>
      </c>
      <c r="E237" s="476">
        <f>'Absolute Volume'!E237/'Energy data by fuel cycle'!$G$18</f>
        <v>0</v>
      </c>
      <c r="F237" s="157">
        <f>'Absolute Volume'!F237/'Energy data by fuel cycle'!$G$18</f>
        <v>0</v>
      </c>
      <c r="G237" s="157">
        <f>'Absolute Volume'!G237/'Energy data by fuel cycle'!$G$18</f>
        <v>0</v>
      </c>
      <c r="H237" s="157">
        <f>'Absolute Volume'!H237/'Energy data by fuel cycle'!$G$18</f>
        <v>0</v>
      </c>
      <c r="I237" s="157">
        <f>'Absolute Volume'!I237/'Energy data by fuel cycle'!$G$18</f>
        <v>0</v>
      </c>
      <c r="J237" s="157">
        <f>'Absolute Volume'!J237/'Energy data by fuel cycle'!$G$18</f>
        <v>0</v>
      </c>
      <c r="K237" s="158">
        <f>'Absolute Volume'!K237/'Energy data by fuel cycle'!$G$18</f>
        <v>0</v>
      </c>
      <c r="L237" s="158">
        <f>'Absolute Volume'!L237/'Energy data by fuel cycle'!$G$18</f>
        <v>0</v>
      </c>
      <c r="M237" s="157">
        <f>'Absolute Volume'!M237/'Energy data by fuel cycle'!$G$18</f>
        <v>0</v>
      </c>
      <c r="N237" s="157">
        <f>'Absolute Volume'!N237/'Energy data by fuel cycle'!$G$18</f>
        <v>0</v>
      </c>
      <c r="O237" s="157">
        <f>'Absolute Volume'!O237/'Energy data by fuel cycle'!$G$18</f>
        <v>0</v>
      </c>
      <c r="P237" s="157">
        <f>'Absolute Volume'!P237/'Energy data by fuel cycle'!$G$18</f>
        <v>0</v>
      </c>
      <c r="Q237" s="78">
        <f>'Absolute Volume'!Q237/'Energy data by fuel cycle'!$G$18</f>
        <v>0</v>
      </c>
      <c r="R237" s="132">
        <f>'Absolute Volume'!R237/'Energy data by fuel cycle'!$G$18</f>
        <v>0</v>
      </c>
      <c r="S237" s="159">
        <f>'Absolute Volume'!S237/'Energy data by fuel cycle'!$G$18</f>
        <v>0</v>
      </c>
      <c r="T237" s="77"/>
    </row>
    <row r="238" spans="1:20" s="11" customFormat="1" ht="14" customHeight="1">
      <c r="A238" s="77"/>
      <c r="B238" s="755"/>
      <c r="C238" s="136" t="s">
        <v>8</v>
      </c>
      <c r="D238" s="137" t="s">
        <v>13</v>
      </c>
      <c r="E238" s="478">
        <f>'Absolute Volume'!E238/'Energy data by fuel cycle'!$G$18</f>
        <v>0</v>
      </c>
      <c r="F238" s="160">
        <f>'Absolute Volume'!F238/'Energy data by fuel cycle'!$G$18</f>
        <v>0</v>
      </c>
      <c r="G238" s="160">
        <f>'Absolute Volume'!G238/'Energy data by fuel cycle'!$G$18</f>
        <v>0</v>
      </c>
      <c r="H238" s="160">
        <f>'Absolute Volume'!H238/'Energy data by fuel cycle'!$G$18</f>
        <v>0</v>
      </c>
      <c r="I238" s="160">
        <f>'Absolute Volume'!I238/'Energy data by fuel cycle'!$G$18</f>
        <v>0</v>
      </c>
      <c r="J238" s="160">
        <f>'Absolute Volume'!J238/'Energy data by fuel cycle'!$G$18</f>
        <v>0</v>
      </c>
      <c r="K238" s="161">
        <f>'Absolute Volume'!K238/'Energy data by fuel cycle'!$G$18</f>
        <v>0</v>
      </c>
      <c r="L238" s="161">
        <f>'Absolute Volume'!L238/'Energy data by fuel cycle'!$G$18</f>
        <v>0</v>
      </c>
      <c r="M238" s="160">
        <f>'Absolute Volume'!M238/'Energy data by fuel cycle'!$G$18</f>
        <v>0</v>
      </c>
      <c r="N238" s="160">
        <f>'Absolute Volume'!N238/'Energy data by fuel cycle'!$G$18</f>
        <v>0</v>
      </c>
      <c r="O238" s="160">
        <f>'Absolute Volume'!O238/'Energy data by fuel cycle'!$G$18</f>
        <v>0</v>
      </c>
      <c r="P238" s="160">
        <f>'Absolute Volume'!P238/'Energy data by fuel cycle'!$G$18</f>
        <v>0</v>
      </c>
      <c r="Q238" s="139">
        <f>'Absolute Volume'!Q238/'Energy data by fuel cycle'!$G$18</f>
        <v>0</v>
      </c>
      <c r="R238" s="140">
        <f>'Absolute Volume'!R238/'Energy data by fuel cycle'!$G$18</f>
        <v>0</v>
      </c>
      <c r="S238" s="162">
        <f>'Absolute Volume'!S238/'Energy data by fuel cycle'!$G$18</f>
        <v>0</v>
      </c>
      <c r="T238" s="77"/>
    </row>
    <row r="239" spans="1:20" s="11" customFormat="1" ht="14" customHeight="1">
      <c r="A239" s="77"/>
      <c r="B239" s="755"/>
      <c r="C239" s="150" t="s">
        <v>10</v>
      </c>
      <c r="D239" s="143" t="s">
        <v>0</v>
      </c>
      <c r="E239" s="476">
        <f>'Absolute Volume'!E239/'Energy data by fuel cycle'!$G$18</f>
        <v>0</v>
      </c>
      <c r="F239" s="157">
        <f>'Absolute Volume'!F239/'Energy data by fuel cycle'!$G$18</f>
        <v>0</v>
      </c>
      <c r="G239" s="157">
        <f>'Absolute Volume'!G239/'Energy data by fuel cycle'!$G$18</f>
        <v>0</v>
      </c>
      <c r="H239" s="157">
        <f>'Absolute Volume'!H239/'Energy data by fuel cycle'!$G$18</f>
        <v>0</v>
      </c>
      <c r="I239" s="157">
        <f>'Absolute Volume'!I239/'Energy data by fuel cycle'!$G$18</f>
        <v>0</v>
      </c>
      <c r="J239" s="157">
        <f>'Absolute Volume'!J239/'Energy data by fuel cycle'!$G$18</f>
        <v>0</v>
      </c>
      <c r="K239" s="158">
        <f>'Absolute Volume'!K239/'Energy data by fuel cycle'!$G$18</f>
        <v>4.8973747366946171E-3</v>
      </c>
      <c r="L239" s="158">
        <f>'Absolute Volume'!L239/'Energy data by fuel cycle'!$G$18</f>
        <v>8.6061407423125968E-3</v>
      </c>
      <c r="M239" s="157">
        <f>'Absolute Volume'!M239/'Energy data by fuel cycle'!$G$18</f>
        <v>0</v>
      </c>
      <c r="N239" s="157">
        <f>'Absolute Volume'!N239/'Energy data by fuel cycle'!$G$18</f>
        <v>0</v>
      </c>
      <c r="O239" s="157">
        <f>'Absolute Volume'!O239/'Energy data by fuel cycle'!$G$18</f>
        <v>0</v>
      </c>
      <c r="P239" s="157">
        <f>'Absolute Volume'!P239/'Energy data by fuel cycle'!$G$18</f>
        <v>0</v>
      </c>
      <c r="Q239" s="78">
        <f>'Absolute Volume'!Q239/'Energy data by fuel cycle'!$G$18</f>
        <v>4.8973747366946171E-3</v>
      </c>
      <c r="R239" s="132">
        <f>'Absolute Volume'!R239/'Energy data by fuel cycle'!$G$18</f>
        <v>8.6061407423125968E-3</v>
      </c>
      <c r="S239" s="159">
        <f>'Absolute Volume'!S239/'Energy data by fuel cycle'!$G$18</f>
        <v>0</v>
      </c>
      <c r="T239" s="77"/>
    </row>
    <row r="240" spans="1:20" s="11" customFormat="1" ht="14" customHeight="1">
      <c r="A240" s="77"/>
      <c r="B240" s="755"/>
      <c r="C240" s="150" t="s">
        <v>10</v>
      </c>
      <c r="D240" s="134" t="s">
        <v>7</v>
      </c>
      <c r="E240" s="476">
        <f>'Absolute Volume'!E240/'Energy data by fuel cycle'!$G$18</f>
        <v>0</v>
      </c>
      <c r="F240" s="157">
        <f>'Absolute Volume'!F240/'Energy data by fuel cycle'!$G$18</f>
        <v>0</v>
      </c>
      <c r="G240" s="157">
        <f>'Absolute Volume'!G240/'Energy data by fuel cycle'!$G$18</f>
        <v>0</v>
      </c>
      <c r="H240" s="157">
        <f>'Absolute Volume'!H240/'Energy data by fuel cycle'!$G$18</f>
        <v>0</v>
      </c>
      <c r="I240" s="157">
        <f>'Absolute Volume'!I240/'Energy data by fuel cycle'!$G$18</f>
        <v>0</v>
      </c>
      <c r="J240" s="157">
        <f>'Absolute Volume'!J240/'Energy data by fuel cycle'!$G$18</f>
        <v>0</v>
      </c>
      <c r="K240" s="158">
        <f>'Absolute Volume'!K240/'Energy data by fuel cycle'!$G$18</f>
        <v>0</v>
      </c>
      <c r="L240" s="158">
        <f>'Absolute Volume'!L240/'Energy data by fuel cycle'!$G$18</f>
        <v>0</v>
      </c>
      <c r="M240" s="157">
        <f>'Absolute Volume'!M240/'Energy data by fuel cycle'!$G$18</f>
        <v>0</v>
      </c>
      <c r="N240" s="157">
        <f>'Absolute Volume'!N240/'Energy data by fuel cycle'!$G$18</f>
        <v>0</v>
      </c>
      <c r="O240" s="157">
        <f>'Absolute Volume'!O240/'Energy data by fuel cycle'!$G$18</f>
        <v>0</v>
      </c>
      <c r="P240" s="157">
        <f>'Absolute Volume'!P240/'Energy data by fuel cycle'!$G$18</f>
        <v>0</v>
      </c>
      <c r="Q240" s="78">
        <f>'Absolute Volume'!Q240/'Energy data by fuel cycle'!$G$18</f>
        <v>0</v>
      </c>
      <c r="R240" s="132">
        <f>'Absolute Volume'!R240/'Energy data by fuel cycle'!$G$18</f>
        <v>0</v>
      </c>
      <c r="S240" s="159">
        <f>'Absolute Volume'!S240/'Energy data by fuel cycle'!$G$18</f>
        <v>0</v>
      </c>
      <c r="T240" s="77"/>
    </row>
    <row r="241" spans="1:20" s="11" customFormat="1" ht="14" customHeight="1">
      <c r="A241" s="77"/>
      <c r="B241" s="755"/>
      <c r="C241" s="150" t="s">
        <v>10</v>
      </c>
      <c r="D241" s="135" t="s">
        <v>1</v>
      </c>
      <c r="E241" s="476">
        <f>'Absolute Volume'!E241/'Energy data by fuel cycle'!$G$18</f>
        <v>0</v>
      </c>
      <c r="F241" s="157">
        <f>'Absolute Volume'!F241/'Energy data by fuel cycle'!$G$18</f>
        <v>0</v>
      </c>
      <c r="G241" s="157">
        <f>'Absolute Volume'!G241/'Energy data by fuel cycle'!$G$18</f>
        <v>0</v>
      </c>
      <c r="H241" s="157">
        <f>'Absolute Volume'!H241/'Energy data by fuel cycle'!$G$18</f>
        <v>0</v>
      </c>
      <c r="I241" s="157">
        <f>'Absolute Volume'!I241/'Energy data by fuel cycle'!$G$18</f>
        <v>0</v>
      </c>
      <c r="J241" s="157">
        <f>'Absolute Volume'!J241/'Energy data by fuel cycle'!$G$18</f>
        <v>0</v>
      </c>
      <c r="K241" s="158">
        <f>'Absolute Volume'!K241/'Energy data by fuel cycle'!$G$18</f>
        <v>0</v>
      </c>
      <c r="L241" s="158">
        <f>'Absolute Volume'!L241/'Energy data by fuel cycle'!$G$18</f>
        <v>0</v>
      </c>
      <c r="M241" s="157">
        <f>'Absolute Volume'!M241/'Energy data by fuel cycle'!$G$18</f>
        <v>0</v>
      </c>
      <c r="N241" s="157">
        <f>'Absolute Volume'!N241/'Energy data by fuel cycle'!$G$18</f>
        <v>0</v>
      </c>
      <c r="O241" s="157">
        <f>'Absolute Volume'!O241/'Energy data by fuel cycle'!$G$18</f>
        <v>0</v>
      </c>
      <c r="P241" s="157">
        <f>'Absolute Volume'!P241/'Energy data by fuel cycle'!$G$18</f>
        <v>0</v>
      </c>
      <c r="Q241" s="78">
        <f>'Absolute Volume'!Q241/'Energy data by fuel cycle'!$G$18</f>
        <v>0</v>
      </c>
      <c r="R241" s="132">
        <f>'Absolute Volume'!R241/'Energy data by fuel cycle'!$G$18</f>
        <v>0</v>
      </c>
      <c r="S241" s="159">
        <f>'Absolute Volume'!S241/'Energy data by fuel cycle'!$G$18</f>
        <v>0</v>
      </c>
      <c r="T241" s="77"/>
    </row>
    <row r="242" spans="1:20" s="11" customFormat="1" ht="14" customHeight="1" thickBot="1">
      <c r="A242" s="77"/>
      <c r="B242" s="755"/>
      <c r="C242" s="150" t="s">
        <v>10</v>
      </c>
      <c r="D242" s="166" t="s">
        <v>13</v>
      </c>
      <c r="E242" s="476">
        <f>'Absolute Volume'!E242/'Energy data by fuel cycle'!$G$18</f>
        <v>0</v>
      </c>
      <c r="F242" s="157">
        <f>'Absolute Volume'!F242/'Energy data by fuel cycle'!$G$18</f>
        <v>0</v>
      </c>
      <c r="G242" s="157">
        <f>'Absolute Volume'!G242/'Energy data by fuel cycle'!$G$18</f>
        <v>0</v>
      </c>
      <c r="H242" s="157">
        <f>'Absolute Volume'!H242/'Energy data by fuel cycle'!$G$18</f>
        <v>0</v>
      </c>
      <c r="I242" s="157">
        <f>'Absolute Volume'!I242/'Energy data by fuel cycle'!$G$18</f>
        <v>0</v>
      </c>
      <c r="J242" s="157">
        <f>'Absolute Volume'!J242/'Energy data by fuel cycle'!$G$18</f>
        <v>0</v>
      </c>
      <c r="K242" s="158">
        <f>'Absolute Volume'!K242/'Energy data by fuel cycle'!$G$18</f>
        <v>0</v>
      </c>
      <c r="L242" s="158">
        <f>'Absolute Volume'!L242/'Energy data by fuel cycle'!$G$18</f>
        <v>0</v>
      </c>
      <c r="M242" s="157">
        <f>'Absolute Volume'!M242/'Energy data by fuel cycle'!$G$18</f>
        <v>0</v>
      </c>
      <c r="N242" s="157">
        <f>'Absolute Volume'!N242/'Energy data by fuel cycle'!$G$18</f>
        <v>0</v>
      </c>
      <c r="O242" s="157">
        <f>'Absolute Volume'!O242/'Energy data by fuel cycle'!$G$18</f>
        <v>0</v>
      </c>
      <c r="P242" s="157">
        <f>'Absolute Volume'!P242/'Energy data by fuel cycle'!$G$18</f>
        <v>0</v>
      </c>
      <c r="Q242" s="78">
        <f>'Absolute Volume'!Q242/'Energy data by fuel cycle'!$G$18</f>
        <v>0</v>
      </c>
      <c r="R242" s="132">
        <f>'Absolute Volume'!R242/'Energy data by fuel cycle'!$G$18</f>
        <v>0</v>
      </c>
      <c r="S242" s="159">
        <f>'Absolute Volume'!S242/'Energy data by fuel cycle'!$G$18</f>
        <v>0</v>
      </c>
      <c r="T242" s="77"/>
    </row>
    <row r="243" spans="1:20" s="75" customFormat="1" ht="30" customHeight="1" thickBot="1">
      <c r="A243" s="115"/>
      <c r="B243" s="803" t="s">
        <v>6</v>
      </c>
      <c r="C243" s="804"/>
      <c r="D243" s="804"/>
      <c r="E243" s="804"/>
      <c r="F243" s="804"/>
      <c r="G243" s="804"/>
      <c r="H243" s="804"/>
      <c r="I243" s="804"/>
      <c r="J243" s="804"/>
      <c r="K243" s="804"/>
      <c r="L243" s="804"/>
      <c r="M243" s="804"/>
      <c r="N243" s="804"/>
      <c r="O243" s="804"/>
      <c r="P243" s="804"/>
      <c r="Q243" s="804"/>
      <c r="R243" s="804"/>
      <c r="S243" s="805"/>
      <c r="T243" s="115"/>
    </row>
    <row r="244" spans="1:20" s="11" customFormat="1" ht="14" customHeight="1">
      <c r="A244" s="77"/>
      <c r="B244" s="755" t="s">
        <v>856</v>
      </c>
      <c r="C244" s="120"/>
      <c r="D244" s="156"/>
      <c r="E244" s="759" t="s">
        <v>591</v>
      </c>
      <c r="F244" s="760"/>
      <c r="G244" s="756" t="s">
        <v>66</v>
      </c>
      <c r="H244" s="756"/>
      <c r="I244" s="742" t="s">
        <v>67</v>
      </c>
      <c r="J244" s="742"/>
      <c r="K244" s="743" t="s">
        <v>68</v>
      </c>
      <c r="L244" s="743"/>
      <c r="M244" s="744" t="s">
        <v>69</v>
      </c>
      <c r="N244" s="744"/>
      <c r="O244" s="745" t="s">
        <v>413</v>
      </c>
      <c r="P244" s="745"/>
      <c r="Q244" s="121" t="s">
        <v>763</v>
      </c>
      <c r="R244" s="122" t="s">
        <v>763</v>
      </c>
      <c r="S244" s="123" t="s">
        <v>763</v>
      </c>
      <c r="T244" s="77"/>
    </row>
    <row r="245" spans="1:20" s="11" customFormat="1" ht="14" customHeight="1">
      <c r="A245" s="77"/>
      <c r="B245" s="755"/>
      <c r="C245" s="120"/>
      <c r="D245" s="156"/>
      <c r="E245" s="469" t="s">
        <v>209</v>
      </c>
      <c r="F245" s="414" t="s">
        <v>208</v>
      </c>
      <c r="G245" s="414" t="s">
        <v>209</v>
      </c>
      <c r="H245" s="414" t="s">
        <v>208</v>
      </c>
      <c r="I245" s="414" t="s">
        <v>209</v>
      </c>
      <c r="J245" s="414" t="s">
        <v>208</v>
      </c>
      <c r="K245" s="414" t="s">
        <v>209</v>
      </c>
      <c r="L245" s="414" t="s">
        <v>208</v>
      </c>
      <c r="M245" s="414" t="s">
        <v>209</v>
      </c>
      <c r="N245" s="414" t="s">
        <v>208</v>
      </c>
      <c r="O245" s="414" t="s">
        <v>209</v>
      </c>
      <c r="P245" s="414" t="s">
        <v>208</v>
      </c>
      <c r="Q245" s="121" t="s">
        <v>209</v>
      </c>
      <c r="R245" s="468" t="s">
        <v>208</v>
      </c>
      <c r="S245" s="123" t="s">
        <v>413</v>
      </c>
      <c r="T245" s="77"/>
    </row>
    <row r="246" spans="1:20" s="11" customFormat="1" ht="28" customHeight="1">
      <c r="A246" s="77"/>
      <c r="B246" s="755"/>
      <c r="C246" s="124" t="s">
        <v>761</v>
      </c>
      <c r="D246" s="125" t="s">
        <v>762</v>
      </c>
      <c r="E246" s="126">
        <f t="shared" ref="E246:S246" si="15">SUM(E247:E258)</f>
        <v>2.7656150650526206</v>
      </c>
      <c r="F246" s="126">
        <f t="shared" si="15"/>
        <v>2.7656150650526206</v>
      </c>
      <c r="G246" s="126">
        <f t="shared" si="15"/>
        <v>0</v>
      </c>
      <c r="H246" s="126">
        <f t="shared" si="15"/>
        <v>0</v>
      </c>
      <c r="I246" s="126">
        <f t="shared" si="15"/>
        <v>0</v>
      </c>
      <c r="J246" s="126">
        <f t="shared" si="15"/>
        <v>0</v>
      </c>
      <c r="K246" s="126">
        <f t="shared" si="15"/>
        <v>0.33606624621028769</v>
      </c>
      <c r="L246" s="126">
        <f t="shared" si="15"/>
        <v>0.339522031333716</v>
      </c>
      <c r="M246" s="126">
        <f t="shared" si="15"/>
        <v>0</v>
      </c>
      <c r="N246" s="126">
        <f t="shared" si="15"/>
        <v>0</v>
      </c>
      <c r="O246" s="126">
        <f t="shared" si="15"/>
        <v>0</v>
      </c>
      <c r="P246" s="126">
        <f t="shared" si="15"/>
        <v>0</v>
      </c>
      <c r="Q246" s="79">
        <f t="shared" si="15"/>
        <v>3.101681311262908</v>
      </c>
      <c r="R246" s="127">
        <f t="shared" si="15"/>
        <v>3.1051370963863367</v>
      </c>
      <c r="S246" s="128">
        <f t="shared" si="15"/>
        <v>0</v>
      </c>
      <c r="T246" s="77"/>
    </row>
    <row r="247" spans="1:20" s="11" customFormat="1" ht="14" customHeight="1">
      <c r="A247" s="77"/>
      <c r="B247" s="755"/>
      <c r="C247" s="142" t="s">
        <v>9</v>
      </c>
      <c r="D247" s="143" t="s">
        <v>0</v>
      </c>
      <c r="E247" s="475">
        <f>'Absolute Volume'!E247/'Energy data by fuel cycle'!$G$19</f>
        <v>2.4388215094820223</v>
      </c>
      <c r="F247" s="157">
        <f>'Absolute Volume'!F247/'Energy data by fuel cycle'!$G$19</f>
        <v>2.4388215094820223</v>
      </c>
      <c r="G247" s="157">
        <f>'Absolute Volume'!G247/'Energy data by fuel cycle'!$G$19</f>
        <v>0</v>
      </c>
      <c r="H247" s="157">
        <f>'Absolute Volume'!H247/'Energy data by fuel cycle'!$G$19</f>
        <v>0</v>
      </c>
      <c r="I247" s="157">
        <f>'Absolute Volume'!I247/'Energy data by fuel cycle'!$G$19</f>
        <v>0</v>
      </c>
      <c r="J247" s="157">
        <f>'Absolute Volume'!J247/'Energy data by fuel cycle'!$G$19</f>
        <v>0</v>
      </c>
      <c r="K247" s="158">
        <f>'Absolute Volume'!K247/'Energy data by fuel cycle'!$G$19</f>
        <v>0.21876462885164885</v>
      </c>
      <c r="L247" s="158">
        <f>'Absolute Volume'!L247/'Energy data by fuel cycle'!$G$19</f>
        <v>0.22222041397507719</v>
      </c>
      <c r="M247" s="157">
        <f>'Absolute Volume'!M247/'Energy data by fuel cycle'!$G$19</f>
        <v>0</v>
      </c>
      <c r="N247" s="157">
        <f>'Absolute Volume'!N247/'Energy data by fuel cycle'!$G$19</f>
        <v>0</v>
      </c>
      <c r="O247" s="157">
        <f>'Absolute Volume'!O247/'Energy data by fuel cycle'!$G$19</f>
        <v>0</v>
      </c>
      <c r="P247" s="157">
        <f>'Absolute Volume'!P247/'Energy data by fuel cycle'!$G$19</f>
        <v>0</v>
      </c>
      <c r="Q247" s="78">
        <f>'Absolute Volume'!Q247/'Energy data by fuel cycle'!$G$19</f>
        <v>2.657586138333671</v>
      </c>
      <c r="R247" s="132">
        <f>'Absolute Volume'!R247/'Energy data by fuel cycle'!$G$19</f>
        <v>2.6610419234570997</v>
      </c>
      <c r="S247" s="159">
        <f>'Absolute Volume'!S247/'Energy data by fuel cycle'!$G$19</f>
        <v>0</v>
      </c>
      <c r="T247" s="77"/>
    </row>
    <row r="248" spans="1:20" s="11" customFormat="1" ht="14" customHeight="1">
      <c r="A248" s="77"/>
      <c r="B248" s="755"/>
      <c r="C248" s="142" t="s">
        <v>9</v>
      </c>
      <c r="D248" s="134" t="s">
        <v>7</v>
      </c>
      <c r="E248" s="476">
        <f>'Absolute Volume'!E248/'Energy data by fuel cycle'!$G$19</f>
        <v>0</v>
      </c>
      <c r="F248" s="157">
        <f>'Absolute Volume'!F248/'Energy data by fuel cycle'!$G$19</f>
        <v>0</v>
      </c>
      <c r="G248" s="157">
        <f>'Absolute Volume'!G248/'Energy data by fuel cycle'!$G$19</f>
        <v>0</v>
      </c>
      <c r="H248" s="157">
        <f>'Absolute Volume'!H248/'Energy data by fuel cycle'!$G$19</f>
        <v>0</v>
      </c>
      <c r="I248" s="157">
        <f>'Absolute Volume'!I248/'Energy data by fuel cycle'!$G$19</f>
        <v>0</v>
      </c>
      <c r="J248" s="157">
        <f>'Absolute Volume'!J248/'Energy data by fuel cycle'!$G$19</f>
        <v>0</v>
      </c>
      <c r="K248" s="158">
        <f>'Absolute Volume'!K248/'Energy data by fuel cycle'!$G$19</f>
        <v>2.5678266576157098E-3</v>
      </c>
      <c r="L248" s="158">
        <f>'Absolute Volume'!L248/'Energy data by fuel cycle'!$G$19</f>
        <v>2.5678266576157098E-3</v>
      </c>
      <c r="M248" s="157">
        <f>'Absolute Volume'!M248/'Energy data by fuel cycle'!$G$19</f>
        <v>0</v>
      </c>
      <c r="N248" s="157">
        <f>'Absolute Volume'!N248/'Energy data by fuel cycle'!$G$19</f>
        <v>0</v>
      </c>
      <c r="O248" s="157">
        <f>'Absolute Volume'!O248/'Energy data by fuel cycle'!$G$19</f>
        <v>0</v>
      </c>
      <c r="P248" s="157">
        <f>'Absolute Volume'!P248/'Energy data by fuel cycle'!$G$19</f>
        <v>0</v>
      </c>
      <c r="Q248" s="78">
        <f>'Absolute Volume'!Q248/'Energy data by fuel cycle'!$G$19</f>
        <v>2.5678266576157098E-3</v>
      </c>
      <c r="R248" s="132">
        <f>'Absolute Volume'!R248/'Energy data by fuel cycle'!$G$19</f>
        <v>2.5678266576157098E-3</v>
      </c>
      <c r="S248" s="159">
        <f>'Absolute Volume'!S248/'Energy data by fuel cycle'!$G$19</f>
        <v>0</v>
      </c>
      <c r="T248" s="77"/>
    </row>
    <row r="249" spans="1:20" s="11" customFormat="1" ht="14" customHeight="1">
      <c r="A249" s="77"/>
      <c r="B249" s="755"/>
      <c r="C249" s="142" t="s">
        <v>9</v>
      </c>
      <c r="D249" s="135" t="s">
        <v>1</v>
      </c>
      <c r="E249" s="476">
        <f>'Absolute Volume'!E249/'Energy data by fuel cycle'!$G$19</f>
        <v>0</v>
      </c>
      <c r="F249" s="157">
        <f>'Absolute Volume'!F249/'Energy data by fuel cycle'!$G$19</f>
        <v>0</v>
      </c>
      <c r="G249" s="157">
        <f>'Absolute Volume'!G249/'Energy data by fuel cycle'!$G$19</f>
        <v>0</v>
      </c>
      <c r="H249" s="157">
        <f>'Absolute Volume'!H249/'Energy data by fuel cycle'!$G$19</f>
        <v>0</v>
      </c>
      <c r="I249" s="157">
        <f>'Absolute Volume'!I249/'Energy data by fuel cycle'!$G$19</f>
        <v>0</v>
      </c>
      <c r="J249" s="157">
        <f>'Absolute Volume'!J249/'Energy data by fuel cycle'!$G$19</f>
        <v>0</v>
      </c>
      <c r="K249" s="158">
        <f>'Absolute Volume'!K249/'Energy data by fuel cycle'!$G$19</f>
        <v>0</v>
      </c>
      <c r="L249" s="158">
        <f>'Absolute Volume'!L249/'Energy data by fuel cycle'!$G$19</f>
        <v>0</v>
      </c>
      <c r="M249" s="157">
        <f>'Absolute Volume'!M249/'Energy data by fuel cycle'!$G$19</f>
        <v>0</v>
      </c>
      <c r="N249" s="157">
        <f>'Absolute Volume'!N249/'Energy data by fuel cycle'!$G$19</f>
        <v>0</v>
      </c>
      <c r="O249" s="157">
        <f>'Absolute Volume'!O249/'Energy data by fuel cycle'!$G$19</f>
        <v>0</v>
      </c>
      <c r="P249" s="157">
        <f>'Absolute Volume'!P249/'Energy data by fuel cycle'!$G$19</f>
        <v>0</v>
      </c>
      <c r="Q249" s="78">
        <f>'Absolute Volume'!Q249/'Energy data by fuel cycle'!$G$19</f>
        <v>0</v>
      </c>
      <c r="R249" s="132">
        <f>'Absolute Volume'!R249/'Energy data by fuel cycle'!$G$19</f>
        <v>0</v>
      </c>
      <c r="S249" s="159">
        <f>'Absolute Volume'!S249/'Energy data by fuel cycle'!$G$19</f>
        <v>0</v>
      </c>
      <c r="T249" s="77"/>
    </row>
    <row r="250" spans="1:20" s="11" customFormat="1" ht="14" customHeight="1">
      <c r="A250" s="77"/>
      <c r="B250" s="755"/>
      <c r="C250" s="144" t="s">
        <v>9</v>
      </c>
      <c r="D250" s="145" t="s">
        <v>13</v>
      </c>
      <c r="E250" s="477">
        <f>'Absolute Volume'!E250/'Energy data by fuel cycle'!$G$19</f>
        <v>0</v>
      </c>
      <c r="F250" s="163">
        <f>'Absolute Volume'!F250/'Energy data by fuel cycle'!$G$19</f>
        <v>0</v>
      </c>
      <c r="G250" s="163">
        <f>'Absolute Volume'!G250/'Energy data by fuel cycle'!$G$19</f>
        <v>0</v>
      </c>
      <c r="H250" s="163">
        <f>'Absolute Volume'!H250/'Energy data by fuel cycle'!$G$19</f>
        <v>0</v>
      </c>
      <c r="I250" s="163">
        <f>'Absolute Volume'!I250/'Energy data by fuel cycle'!$G$19</f>
        <v>0</v>
      </c>
      <c r="J250" s="163">
        <f>'Absolute Volume'!J250/'Energy data by fuel cycle'!$G$19</f>
        <v>0</v>
      </c>
      <c r="K250" s="164">
        <f>'Absolute Volume'!K250/'Energy data by fuel cycle'!$G$19</f>
        <v>0</v>
      </c>
      <c r="L250" s="164">
        <f>'Absolute Volume'!L250/'Energy data by fuel cycle'!$G$19</f>
        <v>0</v>
      </c>
      <c r="M250" s="163">
        <f>'Absolute Volume'!M250/'Energy data by fuel cycle'!$G$19</f>
        <v>0</v>
      </c>
      <c r="N250" s="163">
        <f>'Absolute Volume'!N250/'Energy data by fuel cycle'!$G$19</f>
        <v>0</v>
      </c>
      <c r="O250" s="163">
        <f>'Absolute Volume'!O250/'Energy data by fuel cycle'!$G$19</f>
        <v>0</v>
      </c>
      <c r="P250" s="163">
        <f>'Absolute Volume'!P250/'Energy data by fuel cycle'!$G$19</f>
        <v>0</v>
      </c>
      <c r="Q250" s="147">
        <f>'Absolute Volume'!Q250/'Energy data by fuel cycle'!$G$19</f>
        <v>0</v>
      </c>
      <c r="R250" s="148">
        <f>'Absolute Volume'!R250/'Energy data by fuel cycle'!$G$19</f>
        <v>0</v>
      </c>
      <c r="S250" s="165">
        <f>'Absolute Volume'!S250/'Energy data by fuel cycle'!$G$19</f>
        <v>0</v>
      </c>
      <c r="T250" s="77"/>
    </row>
    <row r="251" spans="1:20" s="11" customFormat="1" ht="14" customHeight="1">
      <c r="A251" s="77"/>
      <c r="B251" s="755"/>
      <c r="C251" s="129" t="s">
        <v>8</v>
      </c>
      <c r="D251" s="130" t="s">
        <v>0</v>
      </c>
      <c r="E251" s="476">
        <f>'Absolute Volume'!E251/'Energy data by fuel cycle'!$G$19</f>
        <v>8.2923887485387049E-4</v>
      </c>
      <c r="F251" s="157">
        <f>'Absolute Volume'!F251/'Energy data by fuel cycle'!$G$19</f>
        <v>8.2923887485387049E-4</v>
      </c>
      <c r="G251" s="157">
        <f>'Absolute Volume'!G251/'Energy data by fuel cycle'!$G$19</f>
        <v>0</v>
      </c>
      <c r="H251" s="157">
        <f>'Absolute Volume'!H251/'Energy data by fuel cycle'!$G$19</f>
        <v>0</v>
      </c>
      <c r="I251" s="157">
        <f>'Absolute Volume'!I251/'Energy data by fuel cycle'!$G$19</f>
        <v>0</v>
      </c>
      <c r="J251" s="157">
        <f>'Absolute Volume'!J251/'Energy data by fuel cycle'!$G$19</f>
        <v>0</v>
      </c>
      <c r="K251" s="158">
        <f>'Absolute Volume'!K251/'Energy data by fuel cycle'!$G$19</f>
        <v>0.11473379070102312</v>
      </c>
      <c r="L251" s="158">
        <f>'Absolute Volume'!L251/'Energy data by fuel cycle'!$G$19</f>
        <v>0.11473379070102312</v>
      </c>
      <c r="M251" s="157">
        <f>'Absolute Volume'!M251/'Energy data by fuel cycle'!$G$19</f>
        <v>0</v>
      </c>
      <c r="N251" s="157">
        <f>'Absolute Volume'!N251/'Energy data by fuel cycle'!$G$19</f>
        <v>0</v>
      </c>
      <c r="O251" s="157">
        <f>'Absolute Volume'!O251/'Energy data by fuel cycle'!$G$19</f>
        <v>0</v>
      </c>
      <c r="P251" s="157">
        <f>'Absolute Volume'!P251/'Energy data by fuel cycle'!$G$19</f>
        <v>0</v>
      </c>
      <c r="Q251" s="78">
        <f>'Absolute Volume'!Q251/'Energy data by fuel cycle'!$G$19</f>
        <v>0.11556302957587698</v>
      </c>
      <c r="R251" s="132">
        <f>'Absolute Volume'!R251/'Energy data by fuel cycle'!$G$19</f>
        <v>0.11556302957587698</v>
      </c>
      <c r="S251" s="159">
        <f>'Absolute Volume'!S251/'Energy data by fuel cycle'!$G$19</f>
        <v>0</v>
      </c>
      <c r="T251" s="77"/>
    </row>
    <row r="252" spans="1:20" s="11" customFormat="1" ht="14" customHeight="1">
      <c r="A252" s="77"/>
      <c r="B252" s="755"/>
      <c r="C252" s="129" t="s">
        <v>8</v>
      </c>
      <c r="D252" s="134" t="s">
        <v>7</v>
      </c>
      <c r="E252" s="476">
        <f>'Absolute Volume'!E252/'Energy data by fuel cycle'!$G$19</f>
        <v>0</v>
      </c>
      <c r="F252" s="157">
        <f>'Absolute Volume'!F252/'Energy data by fuel cycle'!$G$19</f>
        <v>0</v>
      </c>
      <c r="G252" s="157">
        <f>'Absolute Volume'!G252/'Energy data by fuel cycle'!$G$19</f>
        <v>0</v>
      </c>
      <c r="H252" s="157">
        <f>'Absolute Volume'!H252/'Energy data by fuel cycle'!$G$19</f>
        <v>0</v>
      </c>
      <c r="I252" s="157">
        <f>'Absolute Volume'!I252/'Energy data by fuel cycle'!$G$19</f>
        <v>0</v>
      </c>
      <c r="J252" s="157">
        <f>'Absolute Volume'!J252/'Energy data by fuel cycle'!$G$19</f>
        <v>0</v>
      </c>
      <c r="K252" s="158">
        <f>'Absolute Volume'!K252/'Energy data by fuel cycle'!$G$19</f>
        <v>0</v>
      </c>
      <c r="L252" s="158">
        <f>'Absolute Volume'!L252/'Energy data by fuel cycle'!$G$19</f>
        <v>0</v>
      </c>
      <c r="M252" s="157">
        <f>'Absolute Volume'!M252/'Energy data by fuel cycle'!$G$19</f>
        <v>0</v>
      </c>
      <c r="N252" s="157">
        <f>'Absolute Volume'!N252/'Energy data by fuel cycle'!$G$19</f>
        <v>0</v>
      </c>
      <c r="O252" s="157">
        <f>'Absolute Volume'!O252/'Energy data by fuel cycle'!$G$19</f>
        <v>0</v>
      </c>
      <c r="P252" s="157">
        <f>'Absolute Volume'!P252/'Energy data by fuel cycle'!$G$19</f>
        <v>0</v>
      </c>
      <c r="Q252" s="78">
        <f>'Absolute Volume'!Q252/'Energy data by fuel cycle'!$G$19</f>
        <v>0</v>
      </c>
      <c r="R252" s="132">
        <f>'Absolute Volume'!R252/'Energy data by fuel cycle'!$G$19</f>
        <v>0</v>
      </c>
      <c r="S252" s="159">
        <f>'Absolute Volume'!S252/'Energy data by fuel cycle'!$G$19</f>
        <v>0</v>
      </c>
      <c r="T252" s="77"/>
    </row>
    <row r="253" spans="1:20" s="11" customFormat="1" ht="14" customHeight="1">
      <c r="A253" s="77"/>
      <c r="B253" s="755"/>
      <c r="C253" s="129" t="s">
        <v>8</v>
      </c>
      <c r="D253" s="135" t="s">
        <v>1</v>
      </c>
      <c r="E253" s="476">
        <f>'Absolute Volume'!E253/'Energy data by fuel cycle'!$G$19</f>
        <v>0</v>
      </c>
      <c r="F253" s="157">
        <f>'Absolute Volume'!F253/'Energy data by fuel cycle'!$G$19</f>
        <v>0</v>
      </c>
      <c r="G253" s="157">
        <f>'Absolute Volume'!G253/'Energy data by fuel cycle'!$G$19</f>
        <v>0</v>
      </c>
      <c r="H253" s="157">
        <f>'Absolute Volume'!H253/'Energy data by fuel cycle'!$G$19</f>
        <v>0</v>
      </c>
      <c r="I253" s="157">
        <f>'Absolute Volume'!I253/'Energy data by fuel cycle'!$G$19</f>
        <v>0</v>
      </c>
      <c r="J253" s="157">
        <f>'Absolute Volume'!J253/'Energy data by fuel cycle'!$G$19</f>
        <v>0</v>
      </c>
      <c r="K253" s="158">
        <f>'Absolute Volume'!K253/'Energy data by fuel cycle'!$G$19</f>
        <v>0</v>
      </c>
      <c r="L253" s="158">
        <f>'Absolute Volume'!L253/'Energy data by fuel cycle'!$G$19</f>
        <v>0</v>
      </c>
      <c r="M253" s="157">
        <f>'Absolute Volume'!M253/'Energy data by fuel cycle'!$G$19</f>
        <v>0</v>
      </c>
      <c r="N253" s="157">
        <f>'Absolute Volume'!N253/'Energy data by fuel cycle'!$G$19</f>
        <v>0</v>
      </c>
      <c r="O253" s="157">
        <f>'Absolute Volume'!O253/'Energy data by fuel cycle'!$G$19</f>
        <v>0</v>
      </c>
      <c r="P253" s="157">
        <f>'Absolute Volume'!P253/'Energy data by fuel cycle'!$G$19</f>
        <v>0</v>
      </c>
      <c r="Q253" s="78">
        <f>'Absolute Volume'!Q253/'Energy data by fuel cycle'!$G$19</f>
        <v>0</v>
      </c>
      <c r="R253" s="132">
        <f>'Absolute Volume'!R253/'Energy data by fuel cycle'!$G$19</f>
        <v>0</v>
      </c>
      <c r="S253" s="159">
        <f>'Absolute Volume'!S253/'Energy data by fuel cycle'!$G$19</f>
        <v>0</v>
      </c>
      <c r="T253" s="77"/>
    </row>
    <row r="254" spans="1:20" s="11" customFormat="1" ht="14" customHeight="1">
      <c r="A254" s="77"/>
      <c r="B254" s="755"/>
      <c r="C254" s="136" t="s">
        <v>8</v>
      </c>
      <c r="D254" s="137" t="s">
        <v>13</v>
      </c>
      <c r="E254" s="478">
        <f>'Absolute Volume'!E254/'Energy data by fuel cycle'!$G$19</f>
        <v>0</v>
      </c>
      <c r="F254" s="160">
        <f>'Absolute Volume'!F254/'Energy data by fuel cycle'!$G$19</f>
        <v>0</v>
      </c>
      <c r="G254" s="160">
        <f>'Absolute Volume'!G254/'Energy data by fuel cycle'!$G$19</f>
        <v>0</v>
      </c>
      <c r="H254" s="160">
        <f>'Absolute Volume'!H254/'Energy data by fuel cycle'!$G$19</f>
        <v>0</v>
      </c>
      <c r="I254" s="160">
        <f>'Absolute Volume'!I254/'Energy data by fuel cycle'!$G$19</f>
        <v>0</v>
      </c>
      <c r="J254" s="160">
        <f>'Absolute Volume'!J254/'Energy data by fuel cycle'!$G$19</f>
        <v>0</v>
      </c>
      <c r="K254" s="161">
        <f>'Absolute Volume'!K254/'Energy data by fuel cycle'!$G$19</f>
        <v>0</v>
      </c>
      <c r="L254" s="161">
        <f>'Absolute Volume'!L254/'Energy data by fuel cycle'!$G$19</f>
        <v>0</v>
      </c>
      <c r="M254" s="160">
        <f>'Absolute Volume'!M254/'Energy data by fuel cycle'!$G$19</f>
        <v>0</v>
      </c>
      <c r="N254" s="160">
        <f>'Absolute Volume'!N254/'Energy data by fuel cycle'!$G$19</f>
        <v>0</v>
      </c>
      <c r="O254" s="160">
        <f>'Absolute Volume'!O254/'Energy data by fuel cycle'!$G$19</f>
        <v>0</v>
      </c>
      <c r="P254" s="160">
        <f>'Absolute Volume'!P254/'Energy data by fuel cycle'!$G$19</f>
        <v>0</v>
      </c>
      <c r="Q254" s="139">
        <f>'Absolute Volume'!Q254/'Energy data by fuel cycle'!$G$19</f>
        <v>0</v>
      </c>
      <c r="R254" s="140">
        <f>'Absolute Volume'!R254/'Energy data by fuel cycle'!$G$19</f>
        <v>0</v>
      </c>
      <c r="S254" s="162">
        <f>'Absolute Volume'!S254/'Energy data by fuel cycle'!$G$19</f>
        <v>0</v>
      </c>
      <c r="T254" s="77"/>
    </row>
    <row r="255" spans="1:20" s="11" customFormat="1" ht="14" customHeight="1">
      <c r="A255" s="77"/>
      <c r="B255" s="755"/>
      <c r="C255" s="150" t="s">
        <v>10</v>
      </c>
      <c r="D255" s="143" t="s">
        <v>0</v>
      </c>
      <c r="E255" s="476">
        <f>'Absolute Volume'!E255/'Energy data by fuel cycle'!$G$19</f>
        <v>0.32596431669574433</v>
      </c>
      <c r="F255" s="157">
        <f>'Absolute Volume'!F255/'Energy data by fuel cycle'!$G$19</f>
        <v>0.32596431669574433</v>
      </c>
      <c r="G255" s="157">
        <f>'Absolute Volume'!G255/'Energy data by fuel cycle'!$G$19</f>
        <v>0</v>
      </c>
      <c r="H255" s="157">
        <f>'Absolute Volume'!H255/'Energy data by fuel cycle'!$G$19</f>
        <v>0</v>
      </c>
      <c r="I255" s="157">
        <f>'Absolute Volume'!I255/'Energy data by fuel cycle'!$G$19</f>
        <v>0</v>
      </c>
      <c r="J255" s="157">
        <f>'Absolute Volume'!J255/'Energy data by fuel cycle'!$G$19</f>
        <v>0</v>
      </c>
      <c r="K255" s="158">
        <f>'Absolute Volume'!K255/'Energy data by fuel cycle'!$G$19</f>
        <v>0</v>
      </c>
      <c r="L255" s="158">
        <f>'Absolute Volume'!L255/'Energy data by fuel cycle'!$G$19</f>
        <v>0</v>
      </c>
      <c r="M255" s="157">
        <f>'Absolute Volume'!M255/'Energy data by fuel cycle'!$G$19</f>
        <v>0</v>
      </c>
      <c r="N255" s="157">
        <f>'Absolute Volume'!N255/'Energy data by fuel cycle'!$G$19</f>
        <v>0</v>
      </c>
      <c r="O255" s="157">
        <f>'Absolute Volume'!O255/'Energy data by fuel cycle'!$G$19</f>
        <v>0</v>
      </c>
      <c r="P255" s="157">
        <f>'Absolute Volume'!P255/'Energy data by fuel cycle'!$G$19</f>
        <v>0</v>
      </c>
      <c r="Q255" s="78">
        <f>'Absolute Volume'!Q255/'Energy data by fuel cycle'!$G$19</f>
        <v>0.32596431669574433</v>
      </c>
      <c r="R255" s="132">
        <f>'Absolute Volume'!R255/'Energy data by fuel cycle'!$G$19</f>
        <v>0.32596431669574433</v>
      </c>
      <c r="S255" s="159">
        <f>'Absolute Volume'!S255/'Energy data by fuel cycle'!$G$19</f>
        <v>0</v>
      </c>
      <c r="T255" s="77"/>
    </row>
    <row r="256" spans="1:20" s="11" customFormat="1" ht="14" customHeight="1">
      <c r="A256" s="77"/>
      <c r="B256" s="755"/>
      <c r="C256" s="150" t="s">
        <v>10</v>
      </c>
      <c r="D256" s="134" t="s">
        <v>7</v>
      </c>
      <c r="E256" s="476">
        <f>'Absolute Volume'!E256/'Energy data by fuel cycle'!$G$19</f>
        <v>0</v>
      </c>
      <c r="F256" s="157">
        <f>'Absolute Volume'!F256/'Energy data by fuel cycle'!$G$19</f>
        <v>0</v>
      </c>
      <c r="G256" s="157">
        <f>'Absolute Volume'!G256/'Energy data by fuel cycle'!$G$19</f>
        <v>0</v>
      </c>
      <c r="H256" s="157">
        <f>'Absolute Volume'!H256/'Energy data by fuel cycle'!$G$19</f>
        <v>0</v>
      </c>
      <c r="I256" s="157">
        <f>'Absolute Volume'!I256/'Energy data by fuel cycle'!$G$19</f>
        <v>0</v>
      </c>
      <c r="J256" s="157">
        <f>'Absolute Volume'!J256/'Energy data by fuel cycle'!$G$19</f>
        <v>0</v>
      </c>
      <c r="K256" s="158">
        <f>'Absolute Volume'!K256/'Energy data by fuel cycle'!$G$19</f>
        <v>0</v>
      </c>
      <c r="L256" s="158">
        <f>'Absolute Volume'!L256/'Energy data by fuel cycle'!$G$19</f>
        <v>0</v>
      </c>
      <c r="M256" s="157">
        <f>'Absolute Volume'!M256/'Energy data by fuel cycle'!$G$19</f>
        <v>0</v>
      </c>
      <c r="N256" s="157">
        <f>'Absolute Volume'!N256/'Energy data by fuel cycle'!$G$19</f>
        <v>0</v>
      </c>
      <c r="O256" s="157">
        <f>'Absolute Volume'!O256/'Energy data by fuel cycle'!$G$19</f>
        <v>0</v>
      </c>
      <c r="P256" s="157">
        <f>'Absolute Volume'!P256/'Energy data by fuel cycle'!$G$19</f>
        <v>0</v>
      </c>
      <c r="Q256" s="78">
        <f>'Absolute Volume'!Q256/'Energy data by fuel cycle'!$G$19</f>
        <v>0</v>
      </c>
      <c r="R256" s="132">
        <f>'Absolute Volume'!R256/'Energy data by fuel cycle'!$G$19</f>
        <v>0</v>
      </c>
      <c r="S256" s="159">
        <f>'Absolute Volume'!S256/'Energy data by fuel cycle'!$G$19</f>
        <v>0</v>
      </c>
      <c r="T256" s="77"/>
    </row>
    <row r="257" spans="1:20" s="11" customFormat="1" ht="14" customHeight="1">
      <c r="A257" s="77"/>
      <c r="B257" s="755"/>
      <c r="C257" s="150" t="s">
        <v>10</v>
      </c>
      <c r="D257" s="135" t="s">
        <v>1</v>
      </c>
      <c r="E257" s="476">
        <f>'Absolute Volume'!E257/'Energy data by fuel cycle'!$G$19</f>
        <v>0</v>
      </c>
      <c r="F257" s="157">
        <f>'Absolute Volume'!F257/'Energy data by fuel cycle'!$G$19</f>
        <v>0</v>
      </c>
      <c r="G257" s="157">
        <f>'Absolute Volume'!G257/'Energy data by fuel cycle'!$G$19</f>
        <v>0</v>
      </c>
      <c r="H257" s="157">
        <f>'Absolute Volume'!H257/'Energy data by fuel cycle'!$G$19</f>
        <v>0</v>
      </c>
      <c r="I257" s="157">
        <f>'Absolute Volume'!I257/'Energy data by fuel cycle'!$G$19</f>
        <v>0</v>
      </c>
      <c r="J257" s="157">
        <f>'Absolute Volume'!J257/'Energy data by fuel cycle'!$G$19</f>
        <v>0</v>
      </c>
      <c r="K257" s="158">
        <f>'Absolute Volume'!K257/'Energy data by fuel cycle'!$G$19</f>
        <v>0</v>
      </c>
      <c r="L257" s="158">
        <f>'Absolute Volume'!L257/'Energy data by fuel cycle'!$G$19</f>
        <v>0</v>
      </c>
      <c r="M257" s="157">
        <f>'Absolute Volume'!M257/'Energy data by fuel cycle'!$G$19</f>
        <v>0</v>
      </c>
      <c r="N257" s="157">
        <f>'Absolute Volume'!N257/'Energy data by fuel cycle'!$G$19</f>
        <v>0</v>
      </c>
      <c r="O257" s="157">
        <f>'Absolute Volume'!O257/'Energy data by fuel cycle'!$G$19</f>
        <v>0</v>
      </c>
      <c r="P257" s="157">
        <f>'Absolute Volume'!P257/'Energy data by fuel cycle'!$G$19</f>
        <v>0</v>
      </c>
      <c r="Q257" s="78">
        <f>'Absolute Volume'!Q257/'Energy data by fuel cycle'!$G$19</f>
        <v>0</v>
      </c>
      <c r="R257" s="132">
        <f>'Absolute Volume'!R257/'Energy data by fuel cycle'!$G$19</f>
        <v>0</v>
      </c>
      <c r="S257" s="159">
        <f>'Absolute Volume'!S257/'Energy data by fuel cycle'!$G$19</f>
        <v>0</v>
      </c>
      <c r="T257" s="77"/>
    </row>
    <row r="258" spans="1:20" s="11" customFormat="1" ht="14" customHeight="1" thickBot="1">
      <c r="A258" s="77"/>
      <c r="B258" s="755"/>
      <c r="C258" s="150" t="s">
        <v>10</v>
      </c>
      <c r="D258" s="166" t="s">
        <v>13</v>
      </c>
      <c r="E258" s="476">
        <f>'Absolute Volume'!E258/'Energy data by fuel cycle'!$G$19</f>
        <v>0</v>
      </c>
      <c r="F258" s="157">
        <f>'Absolute Volume'!F258/'Energy data by fuel cycle'!$G$19</f>
        <v>0</v>
      </c>
      <c r="G258" s="157">
        <f>'Absolute Volume'!G258/'Energy data by fuel cycle'!$G$19</f>
        <v>0</v>
      </c>
      <c r="H258" s="157">
        <f>'Absolute Volume'!H258/'Energy data by fuel cycle'!$G$19</f>
        <v>0</v>
      </c>
      <c r="I258" s="157">
        <f>'Absolute Volume'!I258/'Energy data by fuel cycle'!$G$19</f>
        <v>0</v>
      </c>
      <c r="J258" s="157">
        <f>'Absolute Volume'!J258/'Energy data by fuel cycle'!$G$19</f>
        <v>0</v>
      </c>
      <c r="K258" s="158">
        <f>'Absolute Volume'!K258/'Energy data by fuel cycle'!$G$19</f>
        <v>0</v>
      </c>
      <c r="L258" s="158">
        <f>'Absolute Volume'!L258/'Energy data by fuel cycle'!$G$19</f>
        <v>0</v>
      </c>
      <c r="M258" s="157">
        <f>'Absolute Volume'!M258/'Energy data by fuel cycle'!$G$19</f>
        <v>0</v>
      </c>
      <c r="N258" s="157">
        <f>'Absolute Volume'!N258/'Energy data by fuel cycle'!$G$19</f>
        <v>0</v>
      </c>
      <c r="O258" s="157">
        <f>'Absolute Volume'!O258/'Energy data by fuel cycle'!$G$19</f>
        <v>0</v>
      </c>
      <c r="P258" s="157">
        <f>'Absolute Volume'!P258/'Energy data by fuel cycle'!$G$19</f>
        <v>0</v>
      </c>
      <c r="Q258" s="78">
        <f>'Absolute Volume'!Q258/'Energy data by fuel cycle'!$G$19</f>
        <v>0</v>
      </c>
      <c r="R258" s="132">
        <f>'Absolute Volume'!R258/'Energy data by fuel cycle'!$G$19</f>
        <v>0</v>
      </c>
      <c r="S258" s="159">
        <f>'Absolute Volume'!S258/'Energy data by fuel cycle'!$G$19</f>
        <v>0</v>
      </c>
      <c r="T258" s="77"/>
    </row>
    <row r="259" spans="1:20" s="75" customFormat="1" ht="30" customHeight="1" thickBot="1">
      <c r="A259" s="115"/>
      <c r="B259" s="806" t="s">
        <v>30</v>
      </c>
      <c r="C259" s="807"/>
      <c r="D259" s="807"/>
      <c r="E259" s="807"/>
      <c r="F259" s="807"/>
      <c r="G259" s="807"/>
      <c r="H259" s="807"/>
      <c r="I259" s="807"/>
      <c r="J259" s="807"/>
      <c r="K259" s="807"/>
      <c r="L259" s="807"/>
      <c r="M259" s="807"/>
      <c r="N259" s="807"/>
      <c r="O259" s="807"/>
      <c r="P259" s="807"/>
      <c r="Q259" s="807"/>
      <c r="R259" s="807"/>
      <c r="S259" s="808"/>
      <c r="T259" s="115"/>
    </row>
    <row r="260" spans="1:20" s="11" customFormat="1" ht="14" customHeight="1">
      <c r="A260" s="77"/>
      <c r="B260" s="755" t="s">
        <v>856</v>
      </c>
      <c r="C260" s="120"/>
      <c r="D260" s="156"/>
      <c r="E260" s="759" t="s">
        <v>591</v>
      </c>
      <c r="F260" s="760"/>
      <c r="G260" s="756" t="s">
        <v>66</v>
      </c>
      <c r="H260" s="756"/>
      <c r="I260" s="742" t="s">
        <v>67</v>
      </c>
      <c r="J260" s="742"/>
      <c r="K260" s="743" t="s">
        <v>68</v>
      </c>
      <c r="L260" s="743"/>
      <c r="M260" s="744" t="s">
        <v>69</v>
      </c>
      <c r="N260" s="744"/>
      <c r="O260" s="745" t="s">
        <v>413</v>
      </c>
      <c r="P260" s="745"/>
      <c r="Q260" s="121" t="s">
        <v>763</v>
      </c>
      <c r="R260" s="122" t="s">
        <v>763</v>
      </c>
      <c r="S260" s="123" t="s">
        <v>763</v>
      </c>
      <c r="T260" s="77"/>
    </row>
    <row r="261" spans="1:20" s="11" customFormat="1" ht="14" customHeight="1">
      <c r="A261" s="77"/>
      <c r="B261" s="755"/>
      <c r="C261" s="120"/>
      <c r="D261" s="156"/>
      <c r="E261" s="469" t="s">
        <v>209</v>
      </c>
      <c r="F261" s="414" t="s">
        <v>208</v>
      </c>
      <c r="G261" s="414" t="s">
        <v>209</v>
      </c>
      <c r="H261" s="414" t="s">
        <v>208</v>
      </c>
      <c r="I261" s="414" t="s">
        <v>209</v>
      </c>
      <c r="J261" s="414" t="s">
        <v>208</v>
      </c>
      <c r="K261" s="414" t="s">
        <v>209</v>
      </c>
      <c r="L261" s="414" t="s">
        <v>208</v>
      </c>
      <c r="M261" s="414" t="s">
        <v>209</v>
      </c>
      <c r="N261" s="414" t="s">
        <v>208</v>
      </c>
      <c r="O261" s="414" t="s">
        <v>209</v>
      </c>
      <c r="P261" s="414" t="s">
        <v>208</v>
      </c>
      <c r="Q261" s="121" t="s">
        <v>209</v>
      </c>
      <c r="R261" s="468" t="s">
        <v>208</v>
      </c>
      <c r="S261" s="123" t="s">
        <v>413</v>
      </c>
      <c r="T261" s="77"/>
    </row>
    <row r="262" spans="1:20" s="11" customFormat="1" ht="28" customHeight="1">
      <c r="A262" s="77"/>
      <c r="B262" s="755"/>
      <c r="C262" s="124" t="s">
        <v>761</v>
      </c>
      <c r="D262" s="125" t="s">
        <v>762</v>
      </c>
      <c r="E262" s="126">
        <f t="shared" ref="E262:S262" si="16">SUM(E263:E274)</f>
        <v>1.869222155365819E-3</v>
      </c>
      <c r="F262" s="126">
        <f t="shared" si="16"/>
        <v>1.869222155365819E-3</v>
      </c>
      <c r="G262" s="126">
        <f t="shared" si="16"/>
        <v>0</v>
      </c>
      <c r="H262" s="126">
        <f t="shared" si="16"/>
        <v>0</v>
      </c>
      <c r="I262" s="126">
        <f t="shared" si="16"/>
        <v>0</v>
      </c>
      <c r="J262" s="126">
        <f t="shared" si="16"/>
        <v>0</v>
      </c>
      <c r="K262" s="126">
        <f t="shared" si="16"/>
        <v>0</v>
      </c>
      <c r="L262" s="126">
        <f t="shared" si="16"/>
        <v>0</v>
      </c>
      <c r="M262" s="126">
        <f t="shared" si="16"/>
        <v>0</v>
      </c>
      <c r="N262" s="126">
        <f t="shared" si="16"/>
        <v>0</v>
      </c>
      <c r="O262" s="126">
        <f t="shared" si="16"/>
        <v>0</v>
      </c>
      <c r="P262" s="126">
        <f t="shared" si="16"/>
        <v>0</v>
      </c>
      <c r="Q262" s="79">
        <f t="shared" si="16"/>
        <v>1.869222155365819E-3</v>
      </c>
      <c r="R262" s="127">
        <f t="shared" si="16"/>
        <v>1.869222155365819E-3</v>
      </c>
      <c r="S262" s="128">
        <f t="shared" si="16"/>
        <v>0</v>
      </c>
      <c r="T262" s="77"/>
    </row>
    <row r="263" spans="1:20" s="11" customFormat="1" ht="14" customHeight="1">
      <c r="A263" s="77"/>
      <c r="B263" s="755"/>
      <c r="C263" s="142" t="s">
        <v>9</v>
      </c>
      <c r="D263" s="143" t="s">
        <v>0</v>
      </c>
      <c r="E263" s="475">
        <f>'Absolute Volume'!E263/'Energy data by fuel cycle'!$G$20</f>
        <v>1.869222155365819E-3</v>
      </c>
      <c r="F263" s="157">
        <f>'Absolute Volume'!F263/'Energy data by fuel cycle'!$G$20</f>
        <v>1.869222155365819E-3</v>
      </c>
      <c r="G263" s="157">
        <f>'Absolute Volume'!G263/'Energy data by fuel cycle'!$G$20</f>
        <v>0</v>
      </c>
      <c r="H263" s="157">
        <f>'Absolute Volume'!H263/'Energy data by fuel cycle'!$G$20</f>
        <v>0</v>
      </c>
      <c r="I263" s="157">
        <f>'Absolute Volume'!I263/'Energy data by fuel cycle'!$G$20</f>
        <v>0</v>
      </c>
      <c r="J263" s="157">
        <f>'Absolute Volume'!J263/'Energy data by fuel cycle'!$G$20</f>
        <v>0</v>
      </c>
      <c r="K263" s="158">
        <f>'Absolute Volume'!K263/'Energy data by fuel cycle'!$G$20</f>
        <v>0</v>
      </c>
      <c r="L263" s="158">
        <f>'Absolute Volume'!L263/'Energy data by fuel cycle'!$G$20</f>
        <v>0</v>
      </c>
      <c r="M263" s="157">
        <f>'Absolute Volume'!M263/'Energy data by fuel cycle'!$G$20</f>
        <v>0</v>
      </c>
      <c r="N263" s="157">
        <f>'Absolute Volume'!N263/'Energy data by fuel cycle'!$G$20</f>
        <v>0</v>
      </c>
      <c r="O263" s="157">
        <f>'Absolute Volume'!O263/'Energy data by fuel cycle'!$G$20</f>
        <v>0</v>
      </c>
      <c r="P263" s="157">
        <f>'Absolute Volume'!P263/'Energy data by fuel cycle'!$G$20</f>
        <v>0</v>
      </c>
      <c r="Q263" s="78">
        <f>'Absolute Volume'!Q263/'Energy data by fuel cycle'!$G$20</f>
        <v>1.869222155365819E-3</v>
      </c>
      <c r="R263" s="132">
        <f>'Absolute Volume'!R263/'Energy data by fuel cycle'!$G$20</f>
        <v>1.869222155365819E-3</v>
      </c>
      <c r="S263" s="159">
        <f>'Absolute Volume'!S263/'Energy data by fuel cycle'!$G$20</f>
        <v>0</v>
      </c>
      <c r="T263" s="77"/>
    </row>
    <row r="264" spans="1:20" s="11" customFormat="1" ht="14" customHeight="1">
      <c r="A264" s="77"/>
      <c r="B264" s="755"/>
      <c r="C264" s="142" t="s">
        <v>9</v>
      </c>
      <c r="D264" s="134" t="s">
        <v>7</v>
      </c>
      <c r="E264" s="476">
        <f>'Absolute Volume'!E264/'Energy data by fuel cycle'!$G$20</f>
        <v>0</v>
      </c>
      <c r="F264" s="157">
        <f>'Absolute Volume'!F264/'Energy data by fuel cycle'!$G$20</f>
        <v>0</v>
      </c>
      <c r="G264" s="157">
        <f>'Absolute Volume'!G264/'Energy data by fuel cycle'!$G$20</f>
        <v>0</v>
      </c>
      <c r="H264" s="157">
        <f>'Absolute Volume'!H264/'Energy data by fuel cycle'!$G$20</f>
        <v>0</v>
      </c>
      <c r="I264" s="157">
        <f>'Absolute Volume'!I264/'Energy data by fuel cycle'!$G$20</f>
        <v>0</v>
      </c>
      <c r="J264" s="157">
        <f>'Absolute Volume'!J264/'Energy data by fuel cycle'!$G$20</f>
        <v>0</v>
      </c>
      <c r="K264" s="158">
        <f>'Absolute Volume'!K264/'Energy data by fuel cycle'!$G$20</f>
        <v>0</v>
      </c>
      <c r="L264" s="158">
        <f>'Absolute Volume'!L264/'Energy data by fuel cycle'!$G$20</f>
        <v>0</v>
      </c>
      <c r="M264" s="157">
        <f>'Absolute Volume'!M264/'Energy data by fuel cycle'!$G$20</f>
        <v>0</v>
      </c>
      <c r="N264" s="157">
        <f>'Absolute Volume'!N264/'Energy data by fuel cycle'!$G$20</f>
        <v>0</v>
      </c>
      <c r="O264" s="157">
        <f>'Absolute Volume'!O264/'Energy data by fuel cycle'!$G$20</f>
        <v>0</v>
      </c>
      <c r="P264" s="157">
        <f>'Absolute Volume'!P264/'Energy data by fuel cycle'!$G$20</f>
        <v>0</v>
      </c>
      <c r="Q264" s="78">
        <f>'Absolute Volume'!Q264/'Energy data by fuel cycle'!$G$20</f>
        <v>0</v>
      </c>
      <c r="R264" s="132">
        <f>'Absolute Volume'!R264/'Energy data by fuel cycle'!$G$20</f>
        <v>0</v>
      </c>
      <c r="S264" s="159">
        <f>'Absolute Volume'!S264/'Energy data by fuel cycle'!$G$20</f>
        <v>0</v>
      </c>
      <c r="T264" s="77"/>
    </row>
    <row r="265" spans="1:20" s="11" customFormat="1" ht="14" customHeight="1">
      <c r="A265" s="77"/>
      <c r="B265" s="755"/>
      <c r="C265" s="142" t="s">
        <v>9</v>
      </c>
      <c r="D265" s="135" t="s">
        <v>1</v>
      </c>
      <c r="E265" s="476">
        <f>'Absolute Volume'!E265/'Energy data by fuel cycle'!$G$20</f>
        <v>0</v>
      </c>
      <c r="F265" s="157">
        <f>'Absolute Volume'!F265/'Energy data by fuel cycle'!$G$20</f>
        <v>0</v>
      </c>
      <c r="G265" s="157">
        <f>'Absolute Volume'!G265/'Energy data by fuel cycle'!$G$20</f>
        <v>0</v>
      </c>
      <c r="H265" s="157">
        <f>'Absolute Volume'!H265/'Energy data by fuel cycle'!$G$20</f>
        <v>0</v>
      </c>
      <c r="I265" s="157">
        <f>'Absolute Volume'!I265/'Energy data by fuel cycle'!$G$20</f>
        <v>0</v>
      </c>
      <c r="J265" s="157">
        <f>'Absolute Volume'!J265/'Energy data by fuel cycle'!$G$20</f>
        <v>0</v>
      </c>
      <c r="K265" s="158">
        <f>'Absolute Volume'!K265/'Energy data by fuel cycle'!$G$20</f>
        <v>0</v>
      </c>
      <c r="L265" s="158">
        <f>'Absolute Volume'!L265/'Energy data by fuel cycle'!$G$20</f>
        <v>0</v>
      </c>
      <c r="M265" s="157">
        <f>'Absolute Volume'!M265/'Energy data by fuel cycle'!$G$20</f>
        <v>0</v>
      </c>
      <c r="N265" s="157">
        <f>'Absolute Volume'!N265/'Energy data by fuel cycle'!$G$20</f>
        <v>0</v>
      </c>
      <c r="O265" s="157">
        <f>'Absolute Volume'!O265/'Energy data by fuel cycle'!$G$20</f>
        <v>0</v>
      </c>
      <c r="P265" s="157">
        <f>'Absolute Volume'!P265/'Energy data by fuel cycle'!$G$20</f>
        <v>0</v>
      </c>
      <c r="Q265" s="78">
        <f>'Absolute Volume'!Q265/'Energy data by fuel cycle'!$G$20</f>
        <v>0</v>
      </c>
      <c r="R265" s="132">
        <f>'Absolute Volume'!R265/'Energy data by fuel cycle'!$G$20</f>
        <v>0</v>
      </c>
      <c r="S265" s="159">
        <f>'Absolute Volume'!S265/'Energy data by fuel cycle'!$G$20</f>
        <v>0</v>
      </c>
      <c r="T265" s="77"/>
    </row>
    <row r="266" spans="1:20" s="11" customFormat="1" ht="14" customHeight="1">
      <c r="A266" s="77"/>
      <c r="B266" s="755"/>
      <c r="C266" s="144" t="s">
        <v>9</v>
      </c>
      <c r="D266" s="145" t="s">
        <v>13</v>
      </c>
      <c r="E266" s="477">
        <f>'Absolute Volume'!E266/'Energy data by fuel cycle'!$G$20</f>
        <v>0</v>
      </c>
      <c r="F266" s="163">
        <f>'Absolute Volume'!F266/'Energy data by fuel cycle'!$G$20</f>
        <v>0</v>
      </c>
      <c r="G266" s="163">
        <f>'Absolute Volume'!G266/'Energy data by fuel cycle'!$G$20</f>
        <v>0</v>
      </c>
      <c r="H266" s="163">
        <f>'Absolute Volume'!H266/'Energy data by fuel cycle'!$G$20</f>
        <v>0</v>
      </c>
      <c r="I266" s="163">
        <f>'Absolute Volume'!I266/'Energy data by fuel cycle'!$G$20</f>
        <v>0</v>
      </c>
      <c r="J266" s="163">
        <f>'Absolute Volume'!J266/'Energy data by fuel cycle'!$G$20</f>
        <v>0</v>
      </c>
      <c r="K266" s="164">
        <f>'Absolute Volume'!K266/'Energy data by fuel cycle'!$G$20</f>
        <v>0</v>
      </c>
      <c r="L266" s="164">
        <f>'Absolute Volume'!L266/'Energy data by fuel cycle'!$G$20</f>
        <v>0</v>
      </c>
      <c r="M266" s="163">
        <f>'Absolute Volume'!M266/'Energy data by fuel cycle'!$G$20</f>
        <v>0</v>
      </c>
      <c r="N266" s="163">
        <f>'Absolute Volume'!N266/'Energy data by fuel cycle'!$G$20</f>
        <v>0</v>
      </c>
      <c r="O266" s="163">
        <f>'Absolute Volume'!O266/'Energy data by fuel cycle'!$G$20</f>
        <v>0</v>
      </c>
      <c r="P266" s="163">
        <f>'Absolute Volume'!P266/'Energy data by fuel cycle'!$G$20</f>
        <v>0</v>
      </c>
      <c r="Q266" s="147">
        <f>'Absolute Volume'!Q266/'Energy data by fuel cycle'!$G$20</f>
        <v>0</v>
      </c>
      <c r="R266" s="148">
        <f>'Absolute Volume'!R266/'Energy data by fuel cycle'!$G$20</f>
        <v>0</v>
      </c>
      <c r="S266" s="165">
        <f>'Absolute Volume'!S266/'Energy data by fuel cycle'!$G$20</f>
        <v>0</v>
      </c>
      <c r="T266" s="77"/>
    </row>
    <row r="267" spans="1:20" s="11" customFormat="1" ht="14" customHeight="1">
      <c r="A267" s="77"/>
      <c r="B267" s="755"/>
      <c r="C267" s="129" t="s">
        <v>8</v>
      </c>
      <c r="D267" s="130" t="s">
        <v>0</v>
      </c>
      <c r="E267" s="476">
        <f>'Absolute Volume'!E267/'Energy data by fuel cycle'!$G$20</f>
        <v>0</v>
      </c>
      <c r="F267" s="157">
        <f>'Absolute Volume'!F267/'Energy data by fuel cycle'!$G$20</f>
        <v>0</v>
      </c>
      <c r="G267" s="157">
        <f>'Absolute Volume'!G267/'Energy data by fuel cycle'!$G$20</f>
        <v>0</v>
      </c>
      <c r="H267" s="157">
        <f>'Absolute Volume'!H267/'Energy data by fuel cycle'!$G$20</f>
        <v>0</v>
      </c>
      <c r="I267" s="157">
        <f>'Absolute Volume'!I267/'Energy data by fuel cycle'!$G$20</f>
        <v>0</v>
      </c>
      <c r="J267" s="157">
        <f>'Absolute Volume'!J267/'Energy data by fuel cycle'!$G$20</f>
        <v>0</v>
      </c>
      <c r="K267" s="158">
        <f>'Absolute Volume'!K267/'Energy data by fuel cycle'!$G$20</f>
        <v>0</v>
      </c>
      <c r="L267" s="158">
        <f>'Absolute Volume'!L267/'Energy data by fuel cycle'!$G$20</f>
        <v>0</v>
      </c>
      <c r="M267" s="157">
        <f>'Absolute Volume'!M267/'Energy data by fuel cycle'!$G$20</f>
        <v>0</v>
      </c>
      <c r="N267" s="157">
        <f>'Absolute Volume'!N267/'Energy data by fuel cycle'!$G$20</f>
        <v>0</v>
      </c>
      <c r="O267" s="157">
        <f>'Absolute Volume'!O267/'Energy data by fuel cycle'!$G$20</f>
        <v>0</v>
      </c>
      <c r="P267" s="157">
        <f>'Absolute Volume'!P267/'Energy data by fuel cycle'!$G$20</f>
        <v>0</v>
      </c>
      <c r="Q267" s="78">
        <f>'Absolute Volume'!Q267/'Energy data by fuel cycle'!$G$20</f>
        <v>0</v>
      </c>
      <c r="R267" s="132">
        <f>'Absolute Volume'!R267/'Energy data by fuel cycle'!$G$20</f>
        <v>0</v>
      </c>
      <c r="S267" s="159">
        <f>'Absolute Volume'!S267/'Energy data by fuel cycle'!$G$20</f>
        <v>0</v>
      </c>
      <c r="T267" s="77"/>
    </row>
    <row r="268" spans="1:20" s="11" customFormat="1" ht="14" customHeight="1">
      <c r="A268" s="77"/>
      <c r="B268" s="755"/>
      <c r="C268" s="129" t="s">
        <v>8</v>
      </c>
      <c r="D268" s="134" t="s">
        <v>7</v>
      </c>
      <c r="E268" s="476">
        <f>'Absolute Volume'!E268/'Energy data by fuel cycle'!$G$20</f>
        <v>0</v>
      </c>
      <c r="F268" s="157">
        <f>'Absolute Volume'!F268/'Energy data by fuel cycle'!$G$20</f>
        <v>0</v>
      </c>
      <c r="G268" s="157">
        <f>'Absolute Volume'!G268/'Energy data by fuel cycle'!$G$20</f>
        <v>0</v>
      </c>
      <c r="H268" s="157">
        <f>'Absolute Volume'!H268/'Energy data by fuel cycle'!$G$20</f>
        <v>0</v>
      </c>
      <c r="I268" s="157">
        <f>'Absolute Volume'!I268/'Energy data by fuel cycle'!$G$20</f>
        <v>0</v>
      </c>
      <c r="J268" s="157">
        <f>'Absolute Volume'!J268/'Energy data by fuel cycle'!$G$20</f>
        <v>0</v>
      </c>
      <c r="K268" s="158">
        <f>'Absolute Volume'!K268/'Energy data by fuel cycle'!$G$20</f>
        <v>0</v>
      </c>
      <c r="L268" s="158">
        <f>'Absolute Volume'!L268/'Energy data by fuel cycle'!$G$20</f>
        <v>0</v>
      </c>
      <c r="M268" s="157">
        <f>'Absolute Volume'!M268/'Energy data by fuel cycle'!$G$20</f>
        <v>0</v>
      </c>
      <c r="N268" s="157">
        <f>'Absolute Volume'!N268/'Energy data by fuel cycle'!$G$20</f>
        <v>0</v>
      </c>
      <c r="O268" s="157">
        <f>'Absolute Volume'!O268/'Energy data by fuel cycle'!$G$20</f>
        <v>0</v>
      </c>
      <c r="P268" s="157">
        <f>'Absolute Volume'!P268/'Energy data by fuel cycle'!$G$20</f>
        <v>0</v>
      </c>
      <c r="Q268" s="78">
        <f>'Absolute Volume'!Q268/'Energy data by fuel cycle'!$G$20</f>
        <v>0</v>
      </c>
      <c r="R268" s="132">
        <f>'Absolute Volume'!R268/'Energy data by fuel cycle'!$G$20</f>
        <v>0</v>
      </c>
      <c r="S268" s="159">
        <f>'Absolute Volume'!S268/'Energy data by fuel cycle'!$G$20</f>
        <v>0</v>
      </c>
      <c r="T268" s="77"/>
    </row>
    <row r="269" spans="1:20" s="11" customFormat="1" ht="14" customHeight="1">
      <c r="A269" s="77"/>
      <c r="B269" s="755"/>
      <c r="C269" s="129" t="s">
        <v>8</v>
      </c>
      <c r="D269" s="135" t="s">
        <v>1</v>
      </c>
      <c r="E269" s="476">
        <f>'Absolute Volume'!E269/'Energy data by fuel cycle'!$G$20</f>
        <v>0</v>
      </c>
      <c r="F269" s="157">
        <f>'Absolute Volume'!F269/'Energy data by fuel cycle'!$G$20</f>
        <v>0</v>
      </c>
      <c r="G269" s="157">
        <f>'Absolute Volume'!G269/'Energy data by fuel cycle'!$G$20</f>
        <v>0</v>
      </c>
      <c r="H269" s="157">
        <f>'Absolute Volume'!H269/'Energy data by fuel cycle'!$G$20</f>
        <v>0</v>
      </c>
      <c r="I269" s="157">
        <f>'Absolute Volume'!I269/'Energy data by fuel cycle'!$G$20</f>
        <v>0</v>
      </c>
      <c r="J269" s="157">
        <f>'Absolute Volume'!J269/'Energy data by fuel cycle'!$G$20</f>
        <v>0</v>
      </c>
      <c r="K269" s="158">
        <f>'Absolute Volume'!K269/'Energy data by fuel cycle'!$G$20</f>
        <v>0</v>
      </c>
      <c r="L269" s="158">
        <f>'Absolute Volume'!L269/'Energy data by fuel cycle'!$G$20</f>
        <v>0</v>
      </c>
      <c r="M269" s="157">
        <f>'Absolute Volume'!M269/'Energy data by fuel cycle'!$G$20</f>
        <v>0</v>
      </c>
      <c r="N269" s="157">
        <f>'Absolute Volume'!N269/'Energy data by fuel cycle'!$G$20</f>
        <v>0</v>
      </c>
      <c r="O269" s="157">
        <f>'Absolute Volume'!O269/'Energy data by fuel cycle'!$G$20</f>
        <v>0</v>
      </c>
      <c r="P269" s="157">
        <f>'Absolute Volume'!P269/'Energy data by fuel cycle'!$G$20</f>
        <v>0</v>
      </c>
      <c r="Q269" s="78">
        <f>'Absolute Volume'!Q269/'Energy data by fuel cycle'!$G$20</f>
        <v>0</v>
      </c>
      <c r="R269" s="132">
        <f>'Absolute Volume'!R269/'Energy data by fuel cycle'!$G$20</f>
        <v>0</v>
      </c>
      <c r="S269" s="159">
        <f>'Absolute Volume'!S269/'Energy data by fuel cycle'!$G$20</f>
        <v>0</v>
      </c>
      <c r="T269" s="77"/>
    </row>
    <row r="270" spans="1:20" s="11" customFormat="1" ht="14" customHeight="1">
      <c r="A270" s="77"/>
      <c r="B270" s="755"/>
      <c r="C270" s="136" t="s">
        <v>8</v>
      </c>
      <c r="D270" s="137" t="s">
        <v>13</v>
      </c>
      <c r="E270" s="478">
        <f>'Absolute Volume'!E270/'Energy data by fuel cycle'!$G$20</f>
        <v>0</v>
      </c>
      <c r="F270" s="160">
        <f>'Absolute Volume'!F270/'Energy data by fuel cycle'!$G$20</f>
        <v>0</v>
      </c>
      <c r="G270" s="160">
        <f>'Absolute Volume'!G270/'Energy data by fuel cycle'!$G$20</f>
        <v>0</v>
      </c>
      <c r="H270" s="160">
        <f>'Absolute Volume'!H270/'Energy data by fuel cycle'!$G$20</f>
        <v>0</v>
      </c>
      <c r="I270" s="160">
        <f>'Absolute Volume'!I270/'Energy data by fuel cycle'!$G$20</f>
        <v>0</v>
      </c>
      <c r="J270" s="160">
        <f>'Absolute Volume'!J270/'Energy data by fuel cycle'!$G$20</f>
        <v>0</v>
      </c>
      <c r="K270" s="161">
        <f>'Absolute Volume'!K270/'Energy data by fuel cycle'!$G$20</f>
        <v>0</v>
      </c>
      <c r="L270" s="161">
        <f>'Absolute Volume'!L270/'Energy data by fuel cycle'!$G$20</f>
        <v>0</v>
      </c>
      <c r="M270" s="160">
        <f>'Absolute Volume'!M270/'Energy data by fuel cycle'!$G$20</f>
        <v>0</v>
      </c>
      <c r="N270" s="160">
        <f>'Absolute Volume'!N270/'Energy data by fuel cycle'!$G$20</f>
        <v>0</v>
      </c>
      <c r="O270" s="160">
        <f>'Absolute Volume'!O270/'Energy data by fuel cycle'!$G$20</f>
        <v>0</v>
      </c>
      <c r="P270" s="160">
        <f>'Absolute Volume'!P270/'Energy data by fuel cycle'!$G$20</f>
        <v>0</v>
      </c>
      <c r="Q270" s="139">
        <f>'Absolute Volume'!Q270/'Energy data by fuel cycle'!$G$20</f>
        <v>0</v>
      </c>
      <c r="R270" s="140">
        <f>'Absolute Volume'!R270/'Energy data by fuel cycle'!$G$20</f>
        <v>0</v>
      </c>
      <c r="S270" s="162">
        <f>'Absolute Volume'!S270/'Energy data by fuel cycle'!$G$20</f>
        <v>0</v>
      </c>
      <c r="T270" s="77"/>
    </row>
    <row r="271" spans="1:20" s="11" customFormat="1" ht="14" customHeight="1">
      <c r="A271" s="77"/>
      <c r="B271" s="755"/>
      <c r="C271" s="150" t="s">
        <v>10</v>
      </c>
      <c r="D271" s="143" t="s">
        <v>0</v>
      </c>
      <c r="E271" s="476">
        <f>'Absolute Volume'!E271/'Energy data by fuel cycle'!$G$20</f>
        <v>0</v>
      </c>
      <c r="F271" s="157">
        <f>'Absolute Volume'!F271/'Energy data by fuel cycle'!$G$20</f>
        <v>0</v>
      </c>
      <c r="G271" s="157">
        <f>'Absolute Volume'!G271/'Energy data by fuel cycle'!$G$20</f>
        <v>0</v>
      </c>
      <c r="H271" s="157">
        <f>'Absolute Volume'!H271/'Energy data by fuel cycle'!$G$20</f>
        <v>0</v>
      </c>
      <c r="I271" s="157">
        <f>'Absolute Volume'!I271/'Energy data by fuel cycle'!$G$20</f>
        <v>0</v>
      </c>
      <c r="J271" s="157">
        <f>'Absolute Volume'!J271/'Energy data by fuel cycle'!$G$20</f>
        <v>0</v>
      </c>
      <c r="K271" s="158">
        <f>'Absolute Volume'!K271/'Energy data by fuel cycle'!$G$20</f>
        <v>0</v>
      </c>
      <c r="L271" s="158">
        <f>'Absolute Volume'!L271/'Energy data by fuel cycle'!$G$20</f>
        <v>0</v>
      </c>
      <c r="M271" s="157">
        <f>'Absolute Volume'!M271/'Energy data by fuel cycle'!$G$20</f>
        <v>0</v>
      </c>
      <c r="N271" s="157">
        <f>'Absolute Volume'!N271/'Energy data by fuel cycle'!$G$20</f>
        <v>0</v>
      </c>
      <c r="O271" s="157">
        <f>'Absolute Volume'!O271/'Energy data by fuel cycle'!$G$20</f>
        <v>0</v>
      </c>
      <c r="P271" s="157">
        <f>'Absolute Volume'!P271/'Energy data by fuel cycle'!$G$20</f>
        <v>0</v>
      </c>
      <c r="Q271" s="78">
        <f>'Absolute Volume'!Q271/'Energy data by fuel cycle'!$G$20</f>
        <v>0</v>
      </c>
      <c r="R271" s="132">
        <f>'Absolute Volume'!R271/'Energy data by fuel cycle'!$G$20</f>
        <v>0</v>
      </c>
      <c r="S271" s="159">
        <f>'Absolute Volume'!S271/'Energy data by fuel cycle'!$G$20</f>
        <v>0</v>
      </c>
      <c r="T271" s="77"/>
    </row>
    <row r="272" spans="1:20" s="11" customFormat="1" ht="14" customHeight="1">
      <c r="A272" s="77"/>
      <c r="B272" s="755"/>
      <c r="C272" s="150" t="s">
        <v>10</v>
      </c>
      <c r="D272" s="134" t="s">
        <v>7</v>
      </c>
      <c r="E272" s="476">
        <f>'Absolute Volume'!E272/'Energy data by fuel cycle'!$G$20</f>
        <v>0</v>
      </c>
      <c r="F272" s="157">
        <f>'Absolute Volume'!F272/'Energy data by fuel cycle'!$G$20</f>
        <v>0</v>
      </c>
      <c r="G272" s="157">
        <f>'Absolute Volume'!G272/'Energy data by fuel cycle'!$G$20</f>
        <v>0</v>
      </c>
      <c r="H272" s="157">
        <f>'Absolute Volume'!H272/'Energy data by fuel cycle'!$G$20</f>
        <v>0</v>
      </c>
      <c r="I272" s="157">
        <f>'Absolute Volume'!I272/'Energy data by fuel cycle'!$G$20</f>
        <v>0</v>
      </c>
      <c r="J272" s="157">
        <f>'Absolute Volume'!J272/'Energy data by fuel cycle'!$G$20</f>
        <v>0</v>
      </c>
      <c r="K272" s="158">
        <f>'Absolute Volume'!K272/'Energy data by fuel cycle'!$G$20</f>
        <v>0</v>
      </c>
      <c r="L272" s="158">
        <f>'Absolute Volume'!L272/'Energy data by fuel cycle'!$G$20</f>
        <v>0</v>
      </c>
      <c r="M272" s="157">
        <f>'Absolute Volume'!M272/'Energy data by fuel cycle'!$G$20</f>
        <v>0</v>
      </c>
      <c r="N272" s="157">
        <f>'Absolute Volume'!N272/'Energy data by fuel cycle'!$G$20</f>
        <v>0</v>
      </c>
      <c r="O272" s="157">
        <f>'Absolute Volume'!O272/'Energy data by fuel cycle'!$G$20</f>
        <v>0</v>
      </c>
      <c r="P272" s="157">
        <f>'Absolute Volume'!P272/'Energy data by fuel cycle'!$G$20</f>
        <v>0</v>
      </c>
      <c r="Q272" s="78">
        <f>'Absolute Volume'!Q272/'Energy data by fuel cycle'!$G$20</f>
        <v>0</v>
      </c>
      <c r="R272" s="132">
        <f>'Absolute Volume'!R272/'Energy data by fuel cycle'!$G$20</f>
        <v>0</v>
      </c>
      <c r="S272" s="159">
        <f>'Absolute Volume'!S272/'Energy data by fuel cycle'!$G$20</f>
        <v>0</v>
      </c>
      <c r="T272" s="77"/>
    </row>
    <row r="273" spans="1:20" s="11" customFormat="1" ht="14" customHeight="1">
      <c r="A273" s="77"/>
      <c r="B273" s="755"/>
      <c r="C273" s="150" t="s">
        <v>10</v>
      </c>
      <c r="D273" s="135" t="s">
        <v>1</v>
      </c>
      <c r="E273" s="476">
        <f>'Absolute Volume'!E273/'Energy data by fuel cycle'!$G$20</f>
        <v>0</v>
      </c>
      <c r="F273" s="157">
        <f>'Absolute Volume'!F273/'Energy data by fuel cycle'!$G$20</f>
        <v>0</v>
      </c>
      <c r="G273" s="157">
        <f>'Absolute Volume'!G273/'Energy data by fuel cycle'!$G$20</f>
        <v>0</v>
      </c>
      <c r="H273" s="157">
        <f>'Absolute Volume'!H273/'Energy data by fuel cycle'!$G$20</f>
        <v>0</v>
      </c>
      <c r="I273" s="157">
        <f>'Absolute Volume'!I273/'Energy data by fuel cycle'!$G$20</f>
        <v>0</v>
      </c>
      <c r="J273" s="157">
        <f>'Absolute Volume'!J273/'Energy data by fuel cycle'!$G$20</f>
        <v>0</v>
      </c>
      <c r="K273" s="158">
        <f>'Absolute Volume'!K273/'Energy data by fuel cycle'!$G$20</f>
        <v>0</v>
      </c>
      <c r="L273" s="158">
        <f>'Absolute Volume'!L273/'Energy data by fuel cycle'!$G$20</f>
        <v>0</v>
      </c>
      <c r="M273" s="157">
        <f>'Absolute Volume'!M273/'Energy data by fuel cycle'!$G$20</f>
        <v>0</v>
      </c>
      <c r="N273" s="157">
        <f>'Absolute Volume'!N273/'Energy data by fuel cycle'!$G$20</f>
        <v>0</v>
      </c>
      <c r="O273" s="157">
        <f>'Absolute Volume'!O273/'Energy data by fuel cycle'!$G$20</f>
        <v>0</v>
      </c>
      <c r="P273" s="157">
        <f>'Absolute Volume'!P273/'Energy data by fuel cycle'!$G$20</f>
        <v>0</v>
      </c>
      <c r="Q273" s="78">
        <f>'Absolute Volume'!Q273/'Energy data by fuel cycle'!$G$20</f>
        <v>0</v>
      </c>
      <c r="R273" s="132">
        <f>'Absolute Volume'!R273/'Energy data by fuel cycle'!$G$20</f>
        <v>0</v>
      </c>
      <c r="S273" s="159">
        <f>'Absolute Volume'!S273/'Energy data by fuel cycle'!$G$20</f>
        <v>0</v>
      </c>
      <c r="T273" s="77"/>
    </row>
    <row r="274" spans="1:20" s="11" customFormat="1" ht="14" customHeight="1" thickBot="1">
      <c r="A274" s="77"/>
      <c r="B274" s="755"/>
      <c r="C274" s="150" t="s">
        <v>10</v>
      </c>
      <c r="D274" s="166" t="s">
        <v>13</v>
      </c>
      <c r="E274" s="476">
        <f>'Absolute Volume'!E274/'Energy data by fuel cycle'!$G$20</f>
        <v>0</v>
      </c>
      <c r="F274" s="157">
        <f>'Absolute Volume'!F274/'Energy data by fuel cycle'!$G$20</f>
        <v>0</v>
      </c>
      <c r="G274" s="157">
        <f>'Absolute Volume'!G274/'Energy data by fuel cycle'!$G$20</f>
        <v>0</v>
      </c>
      <c r="H274" s="157">
        <f>'Absolute Volume'!H274/'Energy data by fuel cycle'!$G$20</f>
        <v>0</v>
      </c>
      <c r="I274" s="157">
        <f>'Absolute Volume'!I274/'Energy data by fuel cycle'!$G$20</f>
        <v>0</v>
      </c>
      <c r="J274" s="157">
        <f>'Absolute Volume'!J274/'Energy data by fuel cycle'!$G$20</f>
        <v>0</v>
      </c>
      <c r="K274" s="158">
        <f>'Absolute Volume'!K274/'Energy data by fuel cycle'!$G$20</f>
        <v>0</v>
      </c>
      <c r="L274" s="158">
        <f>'Absolute Volume'!L274/'Energy data by fuel cycle'!$G$20</f>
        <v>0</v>
      </c>
      <c r="M274" s="157">
        <f>'Absolute Volume'!M274/'Energy data by fuel cycle'!$G$20</f>
        <v>0</v>
      </c>
      <c r="N274" s="157">
        <f>'Absolute Volume'!N274/'Energy data by fuel cycle'!$G$20</f>
        <v>0</v>
      </c>
      <c r="O274" s="157">
        <f>'Absolute Volume'!O274/'Energy data by fuel cycle'!$G$20</f>
        <v>0</v>
      </c>
      <c r="P274" s="157">
        <f>'Absolute Volume'!P274/'Energy data by fuel cycle'!$G$20</f>
        <v>0</v>
      </c>
      <c r="Q274" s="78">
        <f>'Absolute Volume'!Q274/'Energy data by fuel cycle'!$G$20</f>
        <v>0</v>
      </c>
      <c r="R274" s="132">
        <f>'Absolute Volume'!R274/'Energy data by fuel cycle'!$G$20</f>
        <v>0</v>
      </c>
      <c r="S274" s="159">
        <f>'Absolute Volume'!S274/'Energy data by fuel cycle'!$G$20</f>
        <v>0</v>
      </c>
      <c r="T274" s="77"/>
    </row>
    <row r="275" spans="1:20" s="75" customFormat="1" ht="30" customHeight="1" thickBot="1">
      <c r="A275" s="115"/>
      <c r="B275" s="809" t="s">
        <v>31</v>
      </c>
      <c r="C275" s="810"/>
      <c r="D275" s="810"/>
      <c r="E275" s="810"/>
      <c r="F275" s="810"/>
      <c r="G275" s="810"/>
      <c r="H275" s="810"/>
      <c r="I275" s="810"/>
      <c r="J275" s="810"/>
      <c r="K275" s="810"/>
      <c r="L275" s="810"/>
      <c r="M275" s="810"/>
      <c r="N275" s="810"/>
      <c r="O275" s="810"/>
      <c r="P275" s="810"/>
      <c r="Q275" s="810"/>
      <c r="R275" s="810"/>
      <c r="S275" s="811"/>
      <c r="T275" s="115"/>
    </row>
    <row r="276" spans="1:20" s="11" customFormat="1" ht="14" customHeight="1">
      <c r="A276" s="77"/>
      <c r="B276" s="755" t="s">
        <v>856</v>
      </c>
      <c r="C276" s="120"/>
      <c r="D276" s="156"/>
      <c r="E276" s="759" t="s">
        <v>591</v>
      </c>
      <c r="F276" s="760"/>
      <c r="G276" s="756" t="s">
        <v>66</v>
      </c>
      <c r="H276" s="756"/>
      <c r="I276" s="742" t="s">
        <v>67</v>
      </c>
      <c r="J276" s="742"/>
      <c r="K276" s="743" t="s">
        <v>68</v>
      </c>
      <c r="L276" s="743"/>
      <c r="M276" s="744" t="s">
        <v>69</v>
      </c>
      <c r="N276" s="744"/>
      <c r="O276" s="745" t="s">
        <v>413</v>
      </c>
      <c r="P276" s="745"/>
      <c r="Q276" s="121" t="s">
        <v>763</v>
      </c>
      <c r="R276" s="122" t="s">
        <v>763</v>
      </c>
      <c r="S276" s="123" t="s">
        <v>763</v>
      </c>
      <c r="T276" s="77"/>
    </row>
    <row r="277" spans="1:20" s="11" customFormat="1" ht="14" customHeight="1">
      <c r="A277" s="77"/>
      <c r="B277" s="755"/>
      <c r="C277" s="120"/>
      <c r="D277" s="156"/>
      <c r="E277" s="469" t="s">
        <v>209</v>
      </c>
      <c r="F277" s="414" t="s">
        <v>208</v>
      </c>
      <c r="G277" s="414" t="s">
        <v>209</v>
      </c>
      <c r="H277" s="414" t="s">
        <v>208</v>
      </c>
      <c r="I277" s="414" t="s">
        <v>209</v>
      </c>
      <c r="J277" s="414" t="s">
        <v>208</v>
      </c>
      <c r="K277" s="414" t="s">
        <v>209</v>
      </c>
      <c r="L277" s="414" t="s">
        <v>208</v>
      </c>
      <c r="M277" s="414" t="s">
        <v>209</v>
      </c>
      <c r="N277" s="414" t="s">
        <v>208</v>
      </c>
      <c r="O277" s="414" t="s">
        <v>209</v>
      </c>
      <c r="P277" s="414" t="s">
        <v>208</v>
      </c>
      <c r="Q277" s="121" t="s">
        <v>209</v>
      </c>
      <c r="R277" s="468" t="s">
        <v>208</v>
      </c>
      <c r="S277" s="123" t="s">
        <v>413</v>
      </c>
      <c r="T277" s="77"/>
    </row>
    <row r="278" spans="1:20" s="11" customFormat="1" ht="28" customHeight="1">
      <c r="A278" s="77"/>
      <c r="B278" s="755"/>
      <c r="C278" s="124" t="s">
        <v>761</v>
      </c>
      <c r="D278" s="125" t="s">
        <v>762</v>
      </c>
      <c r="E278" s="126">
        <f t="shared" ref="E278:S278" si="17">SUM(E279:E290)</f>
        <v>2.1065320985687842E-2</v>
      </c>
      <c r="F278" s="126">
        <f t="shared" si="17"/>
        <v>2.1065320985687842E-2</v>
      </c>
      <c r="G278" s="126">
        <f t="shared" si="17"/>
        <v>0</v>
      </c>
      <c r="H278" s="126">
        <f t="shared" si="17"/>
        <v>0</v>
      </c>
      <c r="I278" s="126">
        <f t="shared" si="17"/>
        <v>0</v>
      </c>
      <c r="J278" s="126">
        <f t="shared" si="17"/>
        <v>0</v>
      </c>
      <c r="K278" s="126">
        <f t="shared" si="17"/>
        <v>0.96544004015531226</v>
      </c>
      <c r="L278" s="126">
        <f t="shared" si="17"/>
        <v>1.6258366369832333</v>
      </c>
      <c r="M278" s="126">
        <f t="shared" si="17"/>
        <v>0</v>
      </c>
      <c r="N278" s="126">
        <f t="shared" si="17"/>
        <v>0</v>
      </c>
      <c r="O278" s="126">
        <f t="shared" si="17"/>
        <v>0</v>
      </c>
      <c r="P278" s="126">
        <f t="shared" si="17"/>
        <v>0</v>
      </c>
      <c r="Q278" s="79">
        <f t="shared" si="17"/>
        <v>0.98650536114099996</v>
      </c>
      <c r="R278" s="127">
        <f t="shared" si="17"/>
        <v>1.646901957968921</v>
      </c>
      <c r="S278" s="128">
        <f t="shared" si="17"/>
        <v>0</v>
      </c>
      <c r="T278" s="77"/>
    </row>
    <row r="279" spans="1:20" s="11" customFormat="1" ht="14" customHeight="1">
      <c r="A279" s="77"/>
      <c r="B279" s="755"/>
      <c r="C279" s="142" t="s">
        <v>9</v>
      </c>
      <c r="D279" s="143" t="s">
        <v>0</v>
      </c>
      <c r="E279" s="475">
        <f>'Absolute Volume'!E279/'Energy data by fuel cycle'!$G$21</f>
        <v>2.1065320985687842E-2</v>
      </c>
      <c r="F279" s="157">
        <f>'Absolute Volume'!F279/'Energy data by fuel cycle'!$G$21</f>
        <v>2.1065320985687842E-2</v>
      </c>
      <c r="G279" s="157">
        <f>'Absolute Volume'!G279/'Energy data by fuel cycle'!$G$21</f>
        <v>0</v>
      </c>
      <c r="H279" s="157">
        <f>'Absolute Volume'!H279/'Energy data by fuel cycle'!$G$21</f>
        <v>0</v>
      </c>
      <c r="I279" s="157">
        <f>'Absolute Volume'!I279/'Energy data by fuel cycle'!$G$21</f>
        <v>0</v>
      </c>
      <c r="J279" s="157">
        <f>'Absolute Volume'!J279/'Energy data by fuel cycle'!$G$21</f>
        <v>0</v>
      </c>
      <c r="K279" s="158">
        <f>'Absolute Volume'!K279/'Energy data by fuel cycle'!$G$21</f>
        <v>0.68065060350970585</v>
      </c>
      <c r="L279" s="158">
        <f>'Absolute Volume'!L279/'Energy data by fuel cycle'!$G$21</f>
        <v>0.68271464595910292</v>
      </c>
      <c r="M279" s="157">
        <f>'Absolute Volume'!M279/'Energy data by fuel cycle'!$G$21</f>
        <v>0</v>
      </c>
      <c r="N279" s="157">
        <f>'Absolute Volume'!N279/'Energy data by fuel cycle'!$G$21</f>
        <v>0</v>
      </c>
      <c r="O279" s="157">
        <f>'Absolute Volume'!O279/'Energy data by fuel cycle'!$G$21</f>
        <v>0</v>
      </c>
      <c r="P279" s="157">
        <f>'Absolute Volume'!P279/'Energy data by fuel cycle'!$G$21</f>
        <v>0</v>
      </c>
      <c r="Q279" s="78">
        <f>'Absolute Volume'!Q279/'Energy data by fuel cycle'!$G$21</f>
        <v>0.70171592449539366</v>
      </c>
      <c r="R279" s="132">
        <f>'Absolute Volume'!R279/'Energy data by fuel cycle'!$G$21</f>
        <v>0.70377996694479072</v>
      </c>
      <c r="S279" s="159">
        <f>'Absolute Volume'!S279/'Energy data by fuel cycle'!$G$21</f>
        <v>0</v>
      </c>
      <c r="T279" s="77"/>
    </row>
    <row r="280" spans="1:20" s="11" customFormat="1" ht="14" customHeight="1">
      <c r="A280" s="77"/>
      <c r="B280" s="755"/>
      <c r="C280" s="142" t="s">
        <v>9</v>
      </c>
      <c r="D280" s="134" t="s">
        <v>7</v>
      </c>
      <c r="E280" s="476">
        <f>'Absolute Volume'!E280/'Energy data by fuel cycle'!$G$21</f>
        <v>0</v>
      </c>
      <c r="F280" s="157">
        <f>'Absolute Volume'!F280/'Energy data by fuel cycle'!$G$21</f>
        <v>0</v>
      </c>
      <c r="G280" s="157">
        <f>'Absolute Volume'!G280/'Energy data by fuel cycle'!$G$21</f>
        <v>0</v>
      </c>
      <c r="H280" s="157">
        <f>'Absolute Volume'!H280/'Energy data by fuel cycle'!$G$21</f>
        <v>0</v>
      </c>
      <c r="I280" s="157">
        <f>'Absolute Volume'!I280/'Energy data by fuel cycle'!$G$21</f>
        <v>0</v>
      </c>
      <c r="J280" s="157">
        <f>'Absolute Volume'!J280/'Energy data by fuel cycle'!$G$21</f>
        <v>0</v>
      </c>
      <c r="K280" s="158">
        <f>'Absolute Volume'!K280/'Energy data by fuel cycle'!$G$21</f>
        <v>2.4636425521480421E-2</v>
      </c>
      <c r="L280" s="158">
        <f>'Absolute Volume'!L280/'Energy data by fuel cycle'!$G$21</f>
        <v>2.4636425521480421E-2</v>
      </c>
      <c r="M280" s="157">
        <f>'Absolute Volume'!M280/'Energy data by fuel cycle'!$G$21</f>
        <v>0</v>
      </c>
      <c r="N280" s="157">
        <f>'Absolute Volume'!N280/'Energy data by fuel cycle'!$G$21</f>
        <v>0</v>
      </c>
      <c r="O280" s="157">
        <f>'Absolute Volume'!O280/'Energy data by fuel cycle'!$G$21</f>
        <v>0</v>
      </c>
      <c r="P280" s="157">
        <f>'Absolute Volume'!P280/'Energy data by fuel cycle'!$G$21</f>
        <v>0</v>
      </c>
      <c r="Q280" s="78">
        <f>'Absolute Volume'!Q280/'Energy data by fuel cycle'!$G$21</f>
        <v>2.4636425521480421E-2</v>
      </c>
      <c r="R280" s="132">
        <f>'Absolute Volume'!R280/'Energy data by fuel cycle'!$G$21</f>
        <v>2.4636425521480421E-2</v>
      </c>
      <c r="S280" s="159">
        <f>'Absolute Volume'!S280/'Energy data by fuel cycle'!$G$21</f>
        <v>0</v>
      </c>
      <c r="T280" s="77"/>
    </row>
    <row r="281" spans="1:20" s="11" customFormat="1" ht="14" customHeight="1">
      <c r="A281" s="77"/>
      <c r="B281" s="755"/>
      <c r="C281" s="142" t="s">
        <v>9</v>
      </c>
      <c r="D281" s="135" t="s">
        <v>1</v>
      </c>
      <c r="E281" s="476">
        <f>'Absolute Volume'!E281/'Energy data by fuel cycle'!$G$21</f>
        <v>0</v>
      </c>
      <c r="F281" s="157">
        <f>'Absolute Volume'!F281/'Energy data by fuel cycle'!$G$21</f>
        <v>0</v>
      </c>
      <c r="G281" s="157">
        <f>'Absolute Volume'!G281/'Energy data by fuel cycle'!$G$21</f>
        <v>0</v>
      </c>
      <c r="H281" s="157">
        <f>'Absolute Volume'!H281/'Energy data by fuel cycle'!$G$21</f>
        <v>0</v>
      </c>
      <c r="I281" s="157">
        <f>'Absolute Volume'!I281/'Energy data by fuel cycle'!$G$21</f>
        <v>0</v>
      </c>
      <c r="J281" s="157">
        <f>'Absolute Volume'!J281/'Energy data by fuel cycle'!$G$21</f>
        <v>0</v>
      </c>
      <c r="K281" s="158">
        <f>'Absolute Volume'!K281/'Energy data by fuel cycle'!$G$21</f>
        <v>0</v>
      </c>
      <c r="L281" s="158">
        <f>'Absolute Volume'!L281/'Energy data by fuel cycle'!$G$21</f>
        <v>0</v>
      </c>
      <c r="M281" s="157">
        <f>'Absolute Volume'!M281/'Energy data by fuel cycle'!$G$21</f>
        <v>0</v>
      </c>
      <c r="N281" s="157">
        <f>'Absolute Volume'!N281/'Energy data by fuel cycle'!$G$21</f>
        <v>0</v>
      </c>
      <c r="O281" s="157">
        <f>'Absolute Volume'!O281/'Energy data by fuel cycle'!$G$21</f>
        <v>0</v>
      </c>
      <c r="P281" s="157">
        <f>'Absolute Volume'!P281/'Energy data by fuel cycle'!$G$21</f>
        <v>0</v>
      </c>
      <c r="Q281" s="78">
        <f>'Absolute Volume'!Q281/'Energy data by fuel cycle'!$G$21</f>
        <v>0</v>
      </c>
      <c r="R281" s="132">
        <f>'Absolute Volume'!R281/'Energy data by fuel cycle'!$G$21</f>
        <v>0</v>
      </c>
      <c r="S281" s="159">
        <f>'Absolute Volume'!S281/'Energy data by fuel cycle'!$G$21</f>
        <v>0</v>
      </c>
      <c r="T281" s="77"/>
    </row>
    <row r="282" spans="1:20" s="11" customFormat="1" ht="14" customHeight="1">
      <c r="A282" s="77"/>
      <c r="B282" s="755"/>
      <c r="C282" s="144" t="s">
        <v>9</v>
      </c>
      <c r="D282" s="145" t="s">
        <v>13</v>
      </c>
      <c r="E282" s="477">
        <f>'Absolute Volume'!E282/'Energy data by fuel cycle'!$G$21</f>
        <v>0</v>
      </c>
      <c r="F282" s="163">
        <f>'Absolute Volume'!F282/'Energy data by fuel cycle'!$G$21</f>
        <v>0</v>
      </c>
      <c r="G282" s="163">
        <f>'Absolute Volume'!G282/'Energy data by fuel cycle'!$G$21</f>
        <v>0</v>
      </c>
      <c r="H282" s="163">
        <f>'Absolute Volume'!H282/'Energy data by fuel cycle'!$G$21</f>
        <v>0</v>
      </c>
      <c r="I282" s="163">
        <f>'Absolute Volume'!I282/'Energy data by fuel cycle'!$G$21</f>
        <v>0</v>
      </c>
      <c r="J282" s="163">
        <f>'Absolute Volume'!J282/'Energy data by fuel cycle'!$G$21</f>
        <v>0</v>
      </c>
      <c r="K282" s="164">
        <f>'Absolute Volume'!K282/'Energy data by fuel cycle'!$G$21</f>
        <v>0</v>
      </c>
      <c r="L282" s="164">
        <f>'Absolute Volume'!L282/'Energy data by fuel cycle'!$G$21</f>
        <v>0</v>
      </c>
      <c r="M282" s="163">
        <f>'Absolute Volume'!M282/'Energy data by fuel cycle'!$G$21</f>
        <v>0</v>
      </c>
      <c r="N282" s="163">
        <f>'Absolute Volume'!N282/'Energy data by fuel cycle'!$G$21</f>
        <v>0</v>
      </c>
      <c r="O282" s="163">
        <f>'Absolute Volume'!O282/'Energy data by fuel cycle'!$G$21</f>
        <v>0</v>
      </c>
      <c r="P282" s="163">
        <f>'Absolute Volume'!P282/'Energy data by fuel cycle'!$G$21</f>
        <v>0</v>
      </c>
      <c r="Q282" s="147">
        <f>'Absolute Volume'!Q282/'Energy data by fuel cycle'!$G$21</f>
        <v>0</v>
      </c>
      <c r="R282" s="148">
        <f>'Absolute Volume'!R282/'Energy data by fuel cycle'!$G$21</f>
        <v>0</v>
      </c>
      <c r="S282" s="165">
        <f>'Absolute Volume'!S282/'Energy data by fuel cycle'!$G$21</f>
        <v>0</v>
      </c>
      <c r="T282" s="77"/>
    </row>
    <row r="283" spans="1:20" s="11" customFormat="1" ht="14" customHeight="1">
      <c r="A283" s="77"/>
      <c r="B283" s="755"/>
      <c r="C283" s="129" t="s">
        <v>8</v>
      </c>
      <c r="D283" s="130" t="s">
        <v>0</v>
      </c>
      <c r="E283" s="476">
        <f>'Absolute Volume'!E283/'Energy data by fuel cycle'!$G$21</f>
        <v>0</v>
      </c>
      <c r="F283" s="157">
        <f>'Absolute Volume'!F283/'Energy data by fuel cycle'!$G$21</f>
        <v>0</v>
      </c>
      <c r="G283" s="157">
        <f>'Absolute Volume'!G283/'Energy data by fuel cycle'!$G$21</f>
        <v>0</v>
      </c>
      <c r="H283" s="157">
        <f>'Absolute Volume'!H283/'Energy data by fuel cycle'!$G$21</f>
        <v>0</v>
      </c>
      <c r="I283" s="157">
        <f>'Absolute Volume'!I283/'Energy data by fuel cycle'!$G$21</f>
        <v>0</v>
      </c>
      <c r="J283" s="157">
        <f>'Absolute Volume'!J283/'Energy data by fuel cycle'!$G$21</f>
        <v>0</v>
      </c>
      <c r="K283" s="158">
        <f>'Absolute Volume'!K283/'Energy data by fuel cycle'!$G$21</f>
        <v>0.26015301112412598</v>
      </c>
      <c r="L283" s="158">
        <f>'Absolute Volume'!L283/'Energy data by fuel cycle'!$G$21</f>
        <v>0.91848556550264993</v>
      </c>
      <c r="M283" s="157">
        <f>'Absolute Volume'!M283/'Energy data by fuel cycle'!$G$21</f>
        <v>0</v>
      </c>
      <c r="N283" s="157">
        <f>'Absolute Volume'!N283/'Energy data by fuel cycle'!$G$21</f>
        <v>0</v>
      </c>
      <c r="O283" s="157">
        <f>'Absolute Volume'!O283/'Energy data by fuel cycle'!$G$21</f>
        <v>0</v>
      </c>
      <c r="P283" s="157">
        <f>'Absolute Volume'!P283/'Energy data by fuel cycle'!$G$21</f>
        <v>0</v>
      </c>
      <c r="Q283" s="78">
        <f>'Absolute Volume'!Q283/'Energy data by fuel cycle'!$G$21</f>
        <v>0.26015301112412598</v>
      </c>
      <c r="R283" s="132">
        <f>'Absolute Volume'!R283/'Energy data by fuel cycle'!$G$21</f>
        <v>0.91848556550264993</v>
      </c>
      <c r="S283" s="159">
        <f>'Absolute Volume'!S283/'Energy data by fuel cycle'!$G$21</f>
        <v>0</v>
      </c>
      <c r="T283" s="77"/>
    </row>
    <row r="284" spans="1:20" s="11" customFormat="1" ht="14" customHeight="1">
      <c r="A284" s="77"/>
      <c r="B284" s="755"/>
      <c r="C284" s="129" t="s">
        <v>8</v>
      </c>
      <c r="D284" s="134" t="s">
        <v>7</v>
      </c>
      <c r="E284" s="476">
        <f>'Absolute Volume'!E284/'Energy data by fuel cycle'!$G$21</f>
        <v>0</v>
      </c>
      <c r="F284" s="157">
        <f>'Absolute Volume'!F284/'Energy data by fuel cycle'!$G$21</f>
        <v>0</v>
      </c>
      <c r="G284" s="157">
        <f>'Absolute Volume'!G284/'Energy data by fuel cycle'!$G$21</f>
        <v>0</v>
      </c>
      <c r="H284" s="157">
        <f>'Absolute Volume'!H284/'Energy data by fuel cycle'!$G$21</f>
        <v>0</v>
      </c>
      <c r="I284" s="157">
        <f>'Absolute Volume'!I284/'Energy data by fuel cycle'!$G$21</f>
        <v>0</v>
      </c>
      <c r="J284" s="157">
        <f>'Absolute Volume'!J284/'Energy data by fuel cycle'!$G$21</f>
        <v>0</v>
      </c>
      <c r="K284" s="158">
        <f>'Absolute Volume'!K284/'Energy data by fuel cycle'!$G$21</f>
        <v>0</v>
      </c>
      <c r="L284" s="158">
        <f>'Absolute Volume'!L284/'Energy data by fuel cycle'!$G$21</f>
        <v>0</v>
      </c>
      <c r="M284" s="157">
        <f>'Absolute Volume'!M284/'Energy data by fuel cycle'!$G$21</f>
        <v>0</v>
      </c>
      <c r="N284" s="157">
        <f>'Absolute Volume'!N284/'Energy data by fuel cycle'!$G$21</f>
        <v>0</v>
      </c>
      <c r="O284" s="157">
        <f>'Absolute Volume'!O284/'Energy data by fuel cycle'!$G$21</f>
        <v>0</v>
      </c>
      <c r="P284" s="157">
        <f>'Absolute Volume'!P284/'Energy data by fuel cycle'!$G$21</f>
        <v>0</v>
      </c>
      <c r="Q284" s="78">
        <f>'Absolute Volume'!Q284/'Energy data by fuel cycle'!$G$21</f>
        <v>0</v>
      </c>
      <c r="R284" s="132">
        <f>'Absolute Volume'!R284/'Energy data by fuel cycle'!$G$21</f>
        <v>0</v>
      </c>
      <c r="S284" s="159">
        <f>'Absolute Volume'!S284/'Energy data by fuel cycle'!$G$21</f>
        <v>0</v>
      </c>
      <c r="T284" s="77"/>
    </row>
    <row r="285" spans="1:20" s="11" customFormat="1" ht="14" customHeight="1">
      <c r="A285" s="77"/>
      <c r="B285" s="755"/>
      <c r="C285" s="129" t="s">
        <v>8</v>
      </c>
      <c r="D285" s="135" t="s">
        <v>1</v>
      </c>
      <c r="E285" s="476">
        <f>'Absolute Volume'!E285/'Energy data by fuel cycle'!$G$21</f>
        <v>0</v>
      </c>
      <c r="F285" s="157">
        <f>'Absolute Volume'!F285/'Energy data by fuel cycle'!$G$21</f>
        <v>0</v>
      </c>
      <c r="G285" s="157">
        <f>'Absolute Volume'!G285/'Energy data by fuel cycle'!$G$21</f>
        <v>0</v>
      </c>
      <c r="H285" s="157">
        <f>'Absolute Volume'!H285/'Energy data by fuel cycle'!$G$21</f>
        <v>0</v>
      </c>
      <c r="I285" s="157">
        <f>'Absolute Volume'!I285/'Energy data by fuel cycle'!$G$21</f>
        <v>0</v>
      </c>
      <c r="J285" s="157">
        <f>'Absolute Volume'!J285/'Energy data by fuel cycle'!$G$21</f>
        <v>0</v>
      </c>
      <c r="K285" s="158">
        <f>'Absolute Volume'!K285/'Energy data by fuel cycle'!$G$21</f>
        <v>0</v>
      </c>
      <c r="L285" s="158">
        <f>'Absolute Volume'!L285/'Energy data by fuel cycle'!$G$21</f>
        <v>0</v>
      </c>
      <c r="M285" s="157">
        <f>'Absolute Volume'!M285/'Energy data by fuel cycle'!$G$21</f>
        <v>0</v>
      </c>
      <c r="N285" s="157">
        <f>'Absolute Volume'!N285/'Energy data by fuel cycle'!$G$21</f>
        <v>0</v>
      </c>
      <c r="O285" s="157">
        <f>'Absolute Volume'!O285/'Energy data by fuel cycle'!$G$21</f>
        <v>0</v>
      </c>
      <c r="P285" s="157">
        <f>'Absolute Volume'!P285/'Energy data by fuel cycle'!$G$21</f>
        <v>0</v>
      </c>
      <c r="Q285" s="78">
        <f>'Absolute Volume'!Q285/'Energy data by fuel cycle'!$G$21</f>
        <v>0</v>
      </c>
      <c r="R285" s="132">
        <f>'Absolute Volume'!R285/'Energy data by fuel cycle'!$G$21</f>
        <v>0</v>
      </c>
      <c r="S285" s="159">
        <f>'Absolute Volume'!S285/'Energy data by fuel cycle'!$G$21</f>
        <v>0</v>
      </c>
      <c r="T285" s="77"/>
    </row>
    <row r="286" spans="1:20" s="11" customFormat="1" ht="14" customHeight="1">
      <c r="A286" s="77"/>
      <c r="B286" s="755"/>
      <c r="C286" s="167" t="s">
        <v>8</v>
      </c>
      <c r="D286" s="168" t="s">
        <v>13</v>
      </c>
      <c r="E286" s="478">
        <f>'Absolute Volume'!E286/'Energy data by fuel cycle'!$G$21</f>
        <v>0</v>
      </c>
      <c r="F286" s="160">
        <f>'Absolute Volume'!F286/'Energy data by fuel cycle'!$G$21</f>
        <v>0</v>
      </c>
      <c r="G286" s="160">
        <f>'Absolute Volume'!G286/'Energy data by fuel cycle'!$G$21</f>
        <v>0</v>
      </c>
      <c r="H286" s="160">
        <f>'Absolute Volume'!H286/'Energy data by fuel cycle'!$G$21</f>
        <v>0</v>
      </c>
      <c r="I286" s="160">
        <f>'Absolute Volume'!I286/'Energy data by fuel cycle'!$G$21</f>
        <v>0</v>
      </c>
      <c r="J286" s="160">
        <f>'Absolute Volume'!J286/'Energy data by fuel cycle'!$G$21</f>
        <v>0</v>
      </c>
      <c r="K286" s="161">
        <f>'Absolute Volume'!K286/'Energy data by fuel cycle'!$G$21</f>
        <v>0</v>
      </c>
      <c r="L286" s="161">
        <f>'Absolute Volume'!L286/'Energy data by fuel cycle'!$G$21</f>
        <v>0</v>
      </c>
      <c r="M286" s="160">
        <f>'Absolute Volume'!M286/'Energy data by fuel cycle'!$G$21</f>
        <v>0</v>
      </c>
      <c r="N286" s="160">
        <f>'Absolute Volume'!N286/'Energy data by fuel cycle'!$G$21</f>
        <v>0</v>
      </c>
      <c r="O286" s="160">
        <f>'Absolute Volume'!O286/'Energy data by fuel cycle'!$G$21</f>
        <v>0</v>
      </c>
      <c r="P286" s="160">
        <f>'Absolute Volume'!P286/'Energy data by fuel cycle'!$G$21</f>
        <v>0</v>
      </c>
      <c r="Q286" s="139">
        <f>'Absolute Volume'!Q286/'Energy data by fuel cycle'!$G$21</f>
        <v>0</v>
      </c>
      <c r="R286" s="140">
        <f>'Absolute Volume'!R286/'Energy data by fuel cycle'!$G$21</f>
        <v>0</v>
      </c>
      <c r="S286" s="162">
        <f>'Absolute Volume'!S286/'Energy data by fuel cycle'!$G$21</f>
        <v>0</v>
      </c>
      <c r="T286" s="77"/>
    </row>
    <row r="287" spans="1:20" s="11" customFormat="1" ht="14" customHeight="1">
      <c r="A287" s="77"/>
      <c r="B287" s="755"/>
      <c r="C287" s="150" t="s">
        <v>10</v>
      </c>
      <c r="D287" s="143" t="s">
        <v>0</v>
      </c>
      <c r="E287" s="476">
        <f>'Absolute Volume'!E287/'Energy data by fuel cycle'!$G$21</f>
        <v>0</v>
      </c>
      <c r="F287" s="157">
        <f>'Absolute Volume'!F287/'Energy data by fuel cycle'!$G$21</f>
        <v>0</v>
      </c>
      <c r="G287" s="157">
        <f>'Absolute Volume'!G287/'Energy data by fuel cycle'!$G$21</f>
        <v>0</v>
      </c>
      <c r="H287" s="157">
        <f>'Absolute Volume'!H287/'Energy data by fuel cycle'!$G$21</f>
        <v>0</v>
      </c>
      <c r="I287" s="157">
        <f>'Absolute Volume'!I287/'Energy data by fuel cycle'!$G$21</f>
        <v>0</v>
      </c>
      <c r="J287" s="157">
        <f>'Absolute Volume'!J287/'Energy data by fuel cycle'!$G$21</f>
        <v>0</v>
      </c>
      <c r="K287" s="158">
        <f>'Absolute Volume'!K287/'Energy data by fuel cycle'!$G$21</f>
        <v>0</v>
      </c>
      <c r="L287" s="158">
        <f>'Absolute Volume'!L287/'Energy data by fuel cycle'!$G$21</f>
        <v>0</v>
      </c>
      <c r="M287" s="157">
        <f>'Absolute Volume'!M287/'Energy data by fuel cycle'!$G$21</f>
        <v>0</v>
      </c>
      <c r="N287" s="157">
        <f>'Absolute Volume'!N287/'Energy data by fuel cycle'!$G$21</f>
        <v>0</v>
      </c>
      <c r="O287" s="157">
        <f>'Absolute Volume'!O287/'Energy data by fuel cycle'!$G$21</f>
        <v>0</v>
      </c>
      <c r="P287" s="157">
        <f>'Absolute Volume'!P287/'Energy data by fuel cycle'!$G$21</f>
        <v>0</v>
      </c>
      <c r="Q287" s="78">
        <f>'Absolute Volume'!Q287/'Energy data by fuel cycle'!$G$21</f>
        <v>0</v>
      </c>
      <c r="R287" s="132">
        <f>'Absolute Volume'!R287/'Energy data by fuel cycle'!$G$21</f>
        <v>0</v>
      </c>
      <c r="S287" s="159">
        <f>'Absolute Volume'!S287/'Energy data by fuel cycle'!$G$21</f>
        <v>0</v>
      </c>
      <c r="T287" s="77"/>
    </row>
    <row r="288" spans="1:20" s="11" customFormat="1" ht="14" customHeight="1">
      <c r="A288" s="77"/>
      <c r="B288" s="755"/>
      <c r="C288" s="150" t="s">
        <v>10</v>
      </c>
      <c r="D288" s="134" t="s">
        <v>7</v>
      </c>
      <c r="E288" s="476">
        <f>'Absolute Volume'!E288/'Energy data by fuel cycle'!$G$21</f>
        <v>0</v>
      </c>
      <c r="F288" s="157">
        <f>'Absolute Volume'!F288/'Energy data by fuel cycle'!$G$21</f>
        <v>0</v>
      </c>
      <c r="G288" s="157">
        <f>'Absolute Volume'!G288/'Energy data by fuel cycle'!$G$21</f>
        <v>0</v>
      </c>
      <c r="H288" s="157">
        <f>'Absolute Volume'!H288/'Energy data by fuel cycle'!$G$21</f>
        <v>0</v>
      </c>
      <c r="I288" s="157">
        <f>'Absolute Volume'!I288/'Energy data by fuel cycle'!$G$21</f>
        <v>0</v>
      </c>
      <c r="J288" s="157">
        <f>'Absolute Volume'!J288/'Energy data by fuel cycle'!$G$21</f>
        <v>0</v>
      </c>
      <c r="K288" s="158">
        <f>'Absolute Volume'!K288/'Energy data by fuel cycle'!$G$21</f>
        <v>0</v>
      </c>
      <c r="L288" s="158">
        <f>'Absolute Volume'!L288/'Energy data by fuel cycle'!$G$21</f>
        <v>0</v>
      </c>
      <c r="M288" s="157">
        <f>'Absolute Volume'!M288/'Energy data by fuel cycle'!$G$21</f>
        <v>0</v>
      </c>
      <c r="N288" s="157">
        <f>'Absolute Volume'!N288/'Energy data by fuel cycle'!$G$21</f>
        <v>0</v>
      </c>
      <c r="O288" s="157">
        <f>'Absolute Volume'!O288/'Energy data by fuel cycle'!$G$21</f>
        <v>0</v>
      </c>
      <c r="P288" s="157">
        <f>'Absolute Volume'!P288/'Energy data by fuel cycle'!$G$21</f>
        <v>0</v>
      </c>
      <c r="Q288" s="78">
        <f>'Absolute Volume'!Q288/'Energy data by fuel cycle'!$G$21</f>
        <v>0</v>
      </c>
      <c r="R288" s="132">
        <f>'Absolute Volume'!R288/'Energy data by fuel cycle'!$G$21</f>
        <v>0</v>
      </c>
      <c r="S288" s="159">
        <f>'Absolute Volume'!S288/'Energy data by fuel cycle'!$G$21</f>
        <v>0</v>
      </c>
      <c r="T288" s="77"/>
    </row>
    <row r="289" spans="1:20" s="11" customFormat="1" ht="14" customHeight="1">
      <c r="A289" s="77"/>
      <c r="B289" s="755"/>
      <c r="C289" s="150" t="s">
        <v>10</v>
      </c>
      <c r="D289" s="135" t="s">
        <v>1</v>
      </c>
      <c r="E289" s="476">
        <f>'Absolute Volume'!E289/'Energy data by fuel cycle'!$G$21</f>
        <v>0</v>
      </c>
      <c r="F289" s="157">
        <f>'Absolute Volume'!F289/'Energy data by fuel cycle'!$G$21</f>
        <v>0</v>
      </c>
      <c r="G289" s="157">
        <f>'Absolute Volume'!G289/'Energy data by fuel cycle'!$G$21</f>
        <v>0</v>
      </c>
      <c r="H289" s="157">
        <f>'Absolute Volume'!H289/'Energy data by fuel cycle'!$G$21</f>
        <v>0</v>
      </c>
      <c r="I289" s="157">
        <f>'Absolute Volume'!I289/'Energy data by fuel cycle'!$G$21</f>
        <v>0</v>
      </c>
      <c r="J289" s="157">
        <f>'Absolute Volume'!J289/'Energy data by fuel cycle'!$G$21</f>
        <v>0</v>
      </c>
      <c r="K289" s="158">
        <f>'Absolute Volume'!K289/'Energy data by fuel cycle'!$G$21</f>
        <v>0</v>
      </c>
      <c r="L289" s="158">
        <f>'Absolute Volume'!L289/'Energy data by fuel cycle'!$G$21</f>
        <v>0</v>
      </c>
      <c r="M289" s="157">
        <f>'Absolute Volume'!M289/'Energy data by fuel cycle'!$G$21</f>
        <v>0</v>
      </c>
      <c r="N289" s="157">
        <f>'Absolute Volume'!N289/'Energy data by fuel cycle'!$G$21</f>
        <v>0</v>
      </c>
      <c r="O289" s="157">
        <f>'Absolute Volume'!O289/'Energy data by fuel cycle'!$G$21</f>
        <v>0</v>
      </c>
      <c r="P289" s="157">
        <f>'Absolute Volume'!P289/'Energy data by fuel cycle'!$G$21</f>
        <v>0</v>
      </c>
      <c r="Q289" s="78">
        <f>'Absolute Volume'!Q289/'Energy data by fuel cycle'!$G$21</f>
        <v>0</v>
      </c>
      <c r="R289" s="132">
        <f>'Absolute Volume'!R289/'Energy data by fuel cycle'!$G$21</f>
        <v>0</v>
      </c>
      <c r="S289" s="159">
        <f>'Absolute Volume'!S289/'Energy data by fuel cycle'!$G$21</f>
        <v>0</v>
      </c>
      <c r="T289" s="77"/>
    </row>
    <row r="290" spans="1:20" s="11" customFormat="1" ht="14" customHeight="1" thickBot="1">
      <c r="A290" s="77"/>
      <c r="B290" s="812"/>
      <c r="C290" s="169" t="s">
        <v>10</v>
      </c>
      <c r="D290" s="170" t="s">
        <v>13</v>
      </c>
      <c r="E290" s="476">
        <f>'Absolute Volume'!E290/'Energy data by fuel cycle'!$G$21</f>
        <v>0</v>
      </c>
      <c r="F290" s="157">
        <f>'Absolute Volume'!F290/'Energy data by fuel cycle'!$G$21</f>
        <v>0</v>
      </c>
      <c r="G290" s="157">
        <f>'Absolute Volume'!G290/'Energy data by fuel cycle'!$G$21</f>
        <v>0</v>
      </c>
      <c r="H290" s="157">
        <f>'Absolute Volume'!H290/'Energy data by fuel cycle'!$G$21</f>
        <v>0</v>
      </c>
      <c r="I290" s="157">
        <f>'Absolute Volume'!I290/'Energy data by fuel cycle'!$G$21</f>
        <v>0</v>
      </c>
      <c r="J290" s="157">
        <f>'Absolute Volume'!J290/'Energy data by fuel cycle'!$G$21</f>
        <v>0</v>
      </c>
      <c r="K290" s="158">
        <f>'Absolute Volume'!K290/'Energy data by fuel cycle'!$G$21</f>
        <v>0</v>
      </c>
      <c r="L290" s="158">
        <f>'Absolute Volume'!L290/'Energy data by fuel cycle'!$G$21</f>
        <v>0</v>
      </c>
      <c r="M290" s="157">
        <f>'Absolute Volume'!M290/'Energy data by fuel cycle'!$G$21</f>
        <v>0</v>
      </c>
      <c r="N290" s="157">
        <f>'Absolute Volume'!N290/'Energy data by fuel cycle'!$G$21</f>
        <v>0</v>
      </c>
      <c r="O290" s="157">
        <f>'Absolute Volume'!O290/'Energy data by fuel cycle'!$G$21</f>
        <v>0</v>
      </c>
      <c r="P290" s="157">
        <f>'Absolute Volume'!P290/'Energy data by fuel cycle'!$G$21</f>
        <v>0</v>
      </c>
      <c r="Q290" s="78">
        <f>'Absolute Volume'!Q290/'Energy data by fuel cycle'!$G$21</f>
        <v>0</v>
      </c>
      <c r="R290" s="132">
        <f>'Absolute Volume'!R290/'Energy data by fuel cycle'!$G$21</f>
        <v>0</v>
      </c>
      <c r="S290" s="159">
        <f>'Absolute Volume'!S290/'Energy data by fuel cycle'!$G$21</f>
        <v>0</v>
      </c>
      <c r="T290" s="77"/>
    </row>
    <row r="291" spans="1:20" ht="17" customHeight="1">
      <c r="A291" s="174"/>
      <c r="B291" s="174"/>
      <c r="C291" s="174"/>
      <c r="D291" s="174"/>
      <c r="E291" s="174"/>
      <c r="F291" s="174"/>
      <c r="G291" s="174"/>
      <c r="H291" s="174"/>
      <c r="I291" s="174"/>
      <c r="J291" s="174"/>
      <c r="K291" s="174"/>
      <c r="L291" s="174"/>
      <c r="M291" s="174"/>
      <c r="N291" s="174"/>
      <c r="O291" s="174"/>
      <c r="P291" s="174"/>
      <c r="Q291" s="174"/>
      <c r="R291" s="174"/>
      <c r="S291" s="174"/>
      <c r="T291" s="174"/>
    </row>
    <row r="293" spans="1:20">
      <c r="L293" s="44"/>
    </row>
    <row r="294" spans="1:20">
      <c r="L294" s="44"/>
    </row>
  </sheetData>
  <sheetProtection sheet="1" objects="1" scenarios="1" formatCells="0" formatColumns="0" formatRows="0" insertHyperlinks="0" sort="0" autoFilter="0" pivotTables="0"/>
  <mergeCells count="148">
    <mergeCell ref="B2:S2"/>
    <mergeCell ref="V2:AE2"/>
    <mergeCell ref="AF2:AO2"/>
    <mergeCell ref="AP2:AY2"/>
    <mergeCell ref="B3:S3"/>
    <mergeCell ref="B4:B18"/>
    <mergeCell ref="E4:F4"/>
    <mergeCell ref="G4:H4"/>
    <mergeCell ref="I4:J4"/>
    <mergeCell ref="K4:L4"/>
    <mergeCell ref="M4:N4"/>
    <mergeCell ref="O4:P4"/>
    <mergeCell ref="B19:S19"/>
    <mergeCell ref="B20:B34"/>
    <mergeCell ref="E20:F20"/>
    <mergeCell ref="G20:H20"/>
    <mergeCell ref="I20:J20"/>
    <mergeCell ref="K20:L20"/>
    <mergeCell ref="M20:N20"/>
    <mergeCell ref="O20:P20"/>
    <mergeCell ref="B51:S51"/>
    <mergeCell ref="B52:B66"/>
    <mergeCell ref="E52:F52"/>
    <mergeCell ref="G52:H52"/>
    <mergeCell ref="I52:J52"/>
    <mergeCell ref="K52:L52"/>
    <mergeCell ref="M52:N52"/>
    <mergeCell ref="O52:P52"/>
    <mergeCell ref="B35:S35"/>
    <mergeCell ref="B36:B50"/>
    <mergeCell ref="E36:F36"/>
    <mergeCell ref="G36:H36"/>
    <mergeCell ref="I36:J36"/>
    <mergeCell ref="K36:L36"/>
    <mergeCell ref="M36:N36"/>
    <mergeCell ref="O36:P36"/>
    <mergeCell ref="B83:S83"/>
    <mergeCell ref="B84:B98"/>
    <mergeCell ref="E84:F84"/>
    <mergeCell ref="G84:H84"/>
    <mergeCell ref="I84:J84"/>
    <mergeCell ref="K84:L84"/>
    <mergeCell ref="M84:N84"/>
    <mergeCell ref="O84:P84"/>
    <mergeCell ref="B67:S67"/>
    <mergeCell ref="B68:B82"/>
    <mergeCell ref="E68:F68"/>
    <mergeCell ref="G68:H68"/>
    <mergeCell ref="I68:J68"/>
    <mergeCell ref="K68:L68"/>
    <mergeCell ref="M68:N68"/>
    <mergeCell ref="O68:P68"/>
    <mergeCell ref="B115:S115"/>
    <mergeCell ref="B116:B130"/>
    <mergeCell ref="E116:F116"/>
    <mergeCell ref="G116:H116"/>
    <mergeCell ref="I116:J116"/>
    <mergeCell ref="K116:L116"/>
    <mergeCell ref="M116:N116"/>
    <mergeCell ref="O116:P116"/>
    <mergeCell ref="B99:S99"/>
    <mergeCell ref="B100:B114"/>
    <mergeCell ref="E100:F100"/>
    <mergeCell ref="G100:H100"/>
    <mergeCell ref="I100:J100"/>
    <mergeCell ref="K100:L100"/>
    <mergeCell ref="M100:N100"/>
    <mergeCell ref="O100:P100"/>
    <mergeCell ref="B147:S147"/>
    <mergeCell ref="B148:B162"/>
    <mergeCell ref="E148:F148"/>
    <mergeCell ref="G148:H148"/>
    <mergeCell ref="I148:J148"/>
    <mergeCell ref="K148:L148"/>
    <mergeCell ref="M148:N148"/>
    <mergeCell ref="O148:P148"/>
    <mergeCell ref="B131:S131"/>
    <mergeCell ref="B132:B146"/>
    <mergeCell ref="E132:F132"/>
    <mergeCell ref="G132:H132"/>
    <mergeCell ref="I132:J132"/>
    <mergeCell ref="K132:L132"/>
    <mergeCell ref="M132:N132"/>
    <mergeCell ref="O132:P132"/>
    <mergeCell ref="B179:S179"/>
    <mergeCell ref="B180:B194"/>
    <mergeCell ref="E180:F180"/>
    <mergeCell ref="G180:H180"/>
    <mergeCell ref="I180:J180"/>
    <mergeCell ref="K180:L180"/>
    <mergeCell ref="M180:N180"/>
    <mergeCell ref="O180:P180"/>
    <mergeCell ref="B163:S163"/>
    <mergeCell ref="B164:B178"/>
    <mergeCell ref="E164:F164"/>
    <mergeCell ref="G164:H164"/>
    <mergeCell ref="I164:J164"/>
    <mergeCell ref="K164:L164"/>
    <mergeCell ref="M164:N164"/>
    <mergeCell ref="O164:P164"/>
    <mergeCell ref="B211:S211"/>
    <mergeCell ref="B212:B226"/>
    <mergeCell ref="E212:F212"/>
    <mergeCell ref="G212:H212"/>
    <mergeCell ref="I212:J212"/>
    <mergeCell ref="K212:L212"/>
    <mergeCell ref="M212:N212"/>
    <mergeCell ref="O212:P212"/>
    <mergeCell ref="B195:S195"/>
    <mergeCell ref="B196:B210"/>
    <mergeCell ref="E196:F196"/>
    <mergeCell ref="G196:H196"/>
    <mergeCell ref="I196:J196"/>
    <mergeCell ref="K196:L196"/>
    <mergeCell ref="M196:N196"/>
    <mergeCell ref="O196:P196"/>
    <mergeCell ref="B243:S243"/>
    <mergeCell ref="B244:B258"/>
    <mergeCell ref="E244:F244"/>
    <mergeCell ref="G244:H244"/>
    <mergeCell ref="I244:J244"/>
    <mergeCell ref="K244:L244"/>
    <mergeCell ref="M244:N244"/>
    <mergeCell ref="O244:P244"/>
    <mergeCell ref="B227:S227"/>
    <mergeCell ref="B228:B242"/>
    <mergeCell ref="E228:F228"/>
    <mergeCell ref="G228:H228"/>
    <mergeCell ref="I228:J228"/>
    <mergeCell ref="K228:L228"/>
    <mergeCell ref="M228:N228"/>
    <mergeCell ref="O228:P228"/>
    <mergeCell ref="B275:S275"/>
    <mergeCell ref="B276:B290"/>
    <mergeCell ref="E276:F276"/>
    <mergeCell ref="G276:H276"/>
    <mergeCell ref="I276:J276"/>
    <mergeCell ref="K276:L276"/>
    <mergeCell ref="M276:N276"/>
    <mergeCell ref="O276:P276"/>
    <mergeCell ref="B259:S259"/>
    <mergeCell ref="B260:B274"/>
    <mergeCell ref="E260:F260"/>
    <mergeCell ref="G260:H260"/>
    <mergeCell ref="I260:J260"/>
    <mergeCell ref="K260:L260"/>
    <mergeCell ref="M260:N260"/>
    <mergeCell ref="O260:P260"/>
  </mergeCells>
  <phoneticPr fontId="55" type="noConversion"/>
  <pageMargins left="0.75" right="0.75" top="1" bottom="1" header="0.5" footer="0.5"/>
  <pageSetup paperSize="3" scale="13" orientation="landscape" horizontalDpi="4294967292" verticalDpi="429496729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45"/>
  <sheetViews>
    <sheetView workbookViewId="0"/>
  </sheetViews>
  <sheetFormatPr baseColWidth="10" defaultRowHeight="15"/>
  <cols>
    <col min="1" max="1" width="21.6640625" customWidth="1"/>
    <col min="8" max="8" width="21.6640625" customWidth="1"/>
  </cols>
  <sheetData>
    <row r="1" spans="1:11">
      <c r="A1" s="1" t="s">
        <v>94</v>
      </c>
      <c r="H1" s="1" t="s">
        <v>95</v>
      </c>
    </row>
    <row r="2" spans="1:11" ht="45">
      <c r="A2" s="1"/>
      <c r="B2" s="4" t="s">
        <v>70</v>
      </c>
      <c r="C2" s="4" t="s">
        <v>71</v>
      </c>
      <c r="D2" s="4" t="s">
        <v>72</v>
      </c>
      <c r="H2" s="1"/>
      <c r="I2" s="4" t="s">
        <v>70</v>
      </c>
      <c r="J2" s="4" t="s">
        <v>71</v>
      </c>
      <c r="K2" s="4" t="s">
        <v>72</v>
      </c>
    </row>
    <row r="3" spans="1:11">
      <c r="A3" t="s">
        <v>48</v>
      </c>
      <c r="H3" t="s">
        <v>48</v>
      </c>
    </row>
    <row r="4" spans="1:11">
      <c r="A4" t="s">
        <v>53</v>
      </c>
      <c r="H4" t="s">
        <v>53</v>
      </c>
    </row>
    <row r="5" spans="1:11">
      <c r="A5" s="2" t="s">
        <v>55</v>
      </c>
      <c r="H5" s="2" t="s">
        <v>55</v>
      </c>
    </row>
    <row r="6" spans="1:11">
      <c r="A6" s="2" t="s">
        <v>56</v>
      </c>
      <c r="H6" s="2" t="s">
        <v>56</v>
      </c>
    </row>
    <row r="7" spans="1:11">
      <c r="A7" t="s">
        <v>54</v>
      </c>
      <c r="H7" t="s">
        <v>54</v>
      </c>
    </row>
    <row r="9" spans="1:11">
      <c r="A9" s="1" t="s">
        <v>59</v>
      </c>
      <c r="H9" s="1" t="s">
        <v>62</v>
      </c>
    </row>
    <row r="10" spans="1:11">
      <c r="B10" s="3" t="s">
        <v>48</v>
      </c>
      <c r="C10" s="3" t="s">
        <v>57</v>
      </c>
      <c r="D10" s="3" t="s">
        <v>58</v>
      </c>
      <c r="E10" s="3"/>
      <c r="F10" s="3"/>
      <c r="G10" s="3"/>
      <c r="H10" s="3"/>
      <c r="I10" s="3" t="s">
        <v>48</v>
      </c>
      <c r="J10" s="3" t="s">
        <v>57</v>
      </c>
      <c r="K10" s="3" t="s">
        <v>58</v>
      </c>
    </row>
    <row r="11" spans="1:11">
      <c r="A11" t="s">
        <v>16</v>
      </c>
      <c r="H11" t="s">
        <v>16</v>
      </c>
    </row>
    <row r="12" spans="1:11">
      <c r="A12" t="s">
        <v>17</v>
      </c>
      <c r="H12" t="s">
        <v>17</v>
      </c>
    </row>
    <row r="13" spans="1:11">
      <c r="A13" t="s">
        <v>60</v>
      </c>
      <c r="H13" t="s">
        <v>60</v>
      </c>
    </row>
    <row r="14" spans="1:11">
      <c r="A14" t="s">
        <v>73</v>
      </c>
      <c r="H14" t="s">
        <v>73</v>
      </c>
    </row>
    <row r="15" spans="1:11">
      <c r="A15" t="s">
        <v>74</v>
      </c>
      <c r="H15" t="s">
        <v>74</v>
      </c>
    </row>
    <row r="16" spans="1:11">
      <c r="A16" t="s">
        <v>20</v>
      </c>
      <c r="H16" t="s">
        <v>20</v>
      </c>
    </row>
    <row r="17" spans="1:13">
      <c r="A17" t="s">
        <v>18</v>
      </c>
      <c r="H17" t="s">
        <v>18</v>
      </c>
    </row>
    <row r="18" spans="1:13">
      <c r="A18" t="s">
        <v>19</v>
      </c>
      <c r="H18" t="s">
        <v>19</v>
      </c>
    </row>
    <row r="19" spans="1:13">
      <c r="A19" t="s">
        <v>28</v>
      </c>
      <c r="H19" t="s">
        <v>28</v>
      </c>
    </row>
    <row r="20" spans="1:13">
      <c r="A20" t="s">
        <v>29</v>
      </c>
      <c r="H20" t="s">
        <v>29</v>
      </c>
    </row>
    <row r="21" spans="1:13">
      <c r="A21" t="s">
        <v>5</v>
      </c>
      <c r="H21" t="s">
        <v>5</v>
      </c>
    </row>
    <row r="22" spans="1:13">
      <c r="A22" t="s">
        <v>37</v>
      </c>
      <c r="H22" t="s">
        <v>37</v>
      </c>
    </row>
    <row r="23" spans="1:13">
      <c r="A23" t="s">
        <v>61</v>
      </c>
      <c r="H23" t="s">
        <v>61</v>
      </c>
    </row>
    <row r="24" spans="1:13">
      <c r="A24" t="s">
        <v>6</v>
      </c>
      <c r="H24" t="s">
        <v>6</v>
      </c>
    </row>
    <row r="25" spans="1:13">
      <c r="A25" t="s">
        <v>38</v>
      </c>
      <c r="H25" t="s">
        <v>38</v>
      </c>
    </row>
    <row r="26" spans="1:13">
      <c r="A26" t="s">
        <v>39</v>
      </c>
      <c r="H26" t="s">
        <v>39</v>
      </c>
    </row>
    <row r="28" spans="1:13">
      <c r="A28" s="1" t="s">
        <v>64</v>
      </c>
      <c r="H28" s="1" t="s">
        <v>63</v>
      </c>
    </row>
    <row r="29" spans="1:13">
      <c r="B29" s="3" t="s">
        <v>65</v>
      </c>
      <c r="C29" s="3" t="s">
        <v>66</v>
      </c>
      <c r="D29" s="3" t="s">
        <v>67</v>
      </c>
      <c r="E29" s="3" t="s">
        <v>68</v>
      </c>
      <c r="F29" s="3" t="s">
        <v>69</v>
      </c>
      <c r="G29" s="3"/>
      <c r="H29" s="3"/>
      <c r="I29" s="3" t="s">
        <v>65</v>
      </c>
      <c r="J29" s="3" t="s">
        <v>66</v>
      </c>
      <c r="K29" s="3" t="s">
        <v>67</v>
      </c>
      <c r="L29" s="3" t="s">
        <v>68</v>
      </c>
      <c r="M29" s="3" t="s">
        <v>69</v>
      </c>
    </row>
    <row r="30" spans="1:13">
      <c r="A30" t="s">
        <v>16</v>
      </c>
      <c r="H30" t="s">
        <v>16</v>
      </c>
    </row>
    <row r="31" spans="1:13">
      <c r="A31" t="s">
        <v>17</v>
      </c>
      <c r="H31" t="s">
        <v>17</v>
      </c>
    </row>
    <row r="32" spans="1:13">
      <c r="A32" t="s">
        <v>60</v>
      </c>
      <c r="H32" t="s">
        <v>60</v>
      </c>
    </row>
    <row r="33" spans="1:8">
      <c r="A33" t="s">
        <v>73</v>
      </c>
      <c r="H33" t="s">
        <v>73</v>
      </c>
    </row>
    <row r="34" spans="1:8">
      <c r="A34" t="s">
        <v>74</v>
      </c>
      <c r="H34" t="s">
        <v>74</v>
      </c>
    </row>
    <row r="35" spans="1:8">
      <c r="A35" t="s">
        <v>20</v>
      </c>
      <c r="H35" t="s">
        <v>20</v>
      </c>
    </row>
    <row r="36" spans="1:8">
      <c r="A36" t="s">
        <v>18</v>
      </c>
      <c r="H36" t="s">
        <v>18</v>
      </c>
    </row>
    <row r="37" spans="1:8">
      <c r="A37" t="s">
        <v>19</v>
      </c>
      <c r="H37" t="s">
        <v>19</v>
      </c>
    </row>
    <row r="38" spans="1:8">
      <c r="A38" t="s">
        <v>28</v>
      </c>
      <c r="H38" t="s">
        <v>28</v>
      </c>
    </row>
    <row r="39" spans="1:8">
      <c r="A39" t="s">
        <v>29</v>
      </c>
      <c r="H39" t="s">
        <v>29</v>
      </c>
    </row>
    <row r="40" spans="1:8">
      <c r="A40" t="s">
        <v>5</v>
      </c>
      <c r="H40" t="s">
        <v>5</v>
      </c>
    </row>
    <row r="41" spans="1:8">
      <c r="A41" t="s">
        <v>37</v>
      </c>
      <c r="H41" t="s">
        <v>37</v>
      </c>
    </row>
    <row r="42" spans="1:8">
      <c r="A42" t="s">
        <v>61</v>
      </c>
      <c r="H42" t="s">
        <v>61</v>
      </c>
    </row>
    <row r="43" spans="1:8">
      <c r="A43" t="s">
        <v>6</v>
      </c>
      <c r="H43" t="s">
        <v>6</v>
      </c>
    </row>
    <row r="44" spans="1:8">
      <c r="A44" t="s">
        <v>38</v>
      </c>
      <c r="H44" t="s">
        <v>38</v>
      </c>
    </row>
    <row r="45" spans="1:8">
      <c r="A45" t="s">
        <v>39</v>
      </c>
      <c r="H45" t="s">
        <v>39</v>
      </c>
    </row>
  </sheetData>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pageSetUpPr fitToPage="1"/>
  </sheetPr>
  <dimension ref="A1:O46"/>
  <sheetViews>
    <sheetView workbookViewId="0"/>
  </sheetViews>
  <sheetFormatPr baseColWidth="10" defaultRowHeight="13"/>
  <cols>
    <col min="1" max="1" width="2.83203125" style="12" customWidth="1"/>
    <col min="2" max="12" width="10.83203125" style="12"/>
    <col min="13" max="13" width="2.83203125" style="12" customWidth="1"/>
    <col min="14" max="16384" width="10.83203125" style="12"/>
  </cols>
  <sheetData>
    <row r="1" spans="1:13" ht="17" customHeight="1">
      <c r="A1" s="77"/>
      <c r="B1" s="77"/>
      <c r="C1" s="77"/>
      <c r="D1" s="77"/>
      <c r="E1" s="77"/>
      <c r="F1" s="77"/>
      <c r="G1" s="77"/>
      <c r="H1" s="77"/>
      <c r="I1" s="77"/>
      <c r="J1" s="77"/>
      <c r="K1" s="77"/>
      <c r="L1" s="77"/>
      <c r="M1" s="77"/>
    </row>
    <row r="2" spans="1:13">
      <c r="A2" s="77"/>
      <c r="B2" s="77" t="s">
        <v>859</v>
      </c>
      <c r="C2" s="77"/>
      <c r="D2" s="77"/>
      <c r="E2" s="77"/>
      <c r="F2" s="77"/>
      <c r="G2" s="77"/>
      <c r="H2" s="77"/>
      <c r="I2" s="77"/>
      <c r="J2" s="77"/>
      <c r="K2" s="77"/>
      <c r="L2" s="77"/>
      <c r="M2" s="77"/>
    </row>
    <row r="3" spans="1:13">
      <c r="A3" s="77"/>
      <c r="B3" s="77" t="s">
        <v>860</v>
      </c>
      <c r="C3" s="77"/>
      <c r="D3" s="77"/>
      <c r="E3" s="77"/>
      <c r="F3" s="77"/>
      <c r="G3" s="77"/>
      <c r="H3" s="77"/>
      <c r="I3" s="77"/>
      <c r="J3" s="77"/>
      <c r="K3" s="77"/>
      <c r="L3" s="77"/>
      <c r="M3" s="77"/>
    </row>
    <row r="4" spans="1:13">
      <c r="A4" s="77"/>
      <c r="B4" s="77" t="s">
        <v>871</v>
      </c>
      <c r="C4" s="77"/>
      <c r="D4" s="77"/>
      <c r="E4" s="77"/>
      <c r="F4" s="77"/>
      <c r="G4" s="77"/>
      <c r="H4" s="77"/>
      <c r="I4" s="77"/>
      <c r="J4" s="77"/>
      <c r="K4" s="77"/>
      <c r="L4" s="77"/>
      <c r="M4" s="77"/>
    </row>
    <row r="5" spans="1:13">
      <c r="A5" s="77"/>
      <c r="B5" s="77" t="s">
        <v>872</v>
      </c>
      <c r="C5" s="77"/>
      <c r="D5" s="77"/>
      <c r="E5" s="77"/>
      <c r="F5" s="77"/>
      <c r="G5" s="77"/>
      <c r="H5" s="77"/>
      <c r="I5" s="77"/>
      <c r="J5" s="77"/>
      <c r="K5" s="77"/>
      <c r="L5" s="77"/>
      <c r="M5" s="77"/>
    </row>
    <row r="6" spans="1:13">
      <c r="A6" s="77"/>
      <c r="B6" s="77"/>
      <c r="C6" s="77"/>
      <c r="D6" s="77"/>
      <c r="E6" s="77"/>
      <c r="F6" s="77"/>
      <c r="G6" s="77"/>
      <c r="H6" s="77"/>
      <c r="I6" s="77"/>
      <c r="J6" s="77"/>
      <c r="K6" s="77"/>
      <c r="L6" s="77"/>
      <c r="M6" s="77"/>
    </row>
    <row r="7" spans="1:13">
      <c r="A7" s="77"/>
      <c r="B7" s="77" t="s">
        <v>898</v>
      </c>
      <c r="C7" s="77"/>
      <c r="D7" s="77"/>
      <c r="E7" s="77"/>
      <c r="F7" s="77"/>
      <c r="G7" s="77"/>
      <c r="H7" s="77"/>
      <c r="I7" s="77"/>
      <c r="J7" s="77"/>
      <c r="K7" s="77"/>
      <c r="L7" s="77"/>
      <c r="M7" s="77"/>
    </row>
    <row r="8" spans="1:13">
      <c r="A8" s="77"/>
      <c r="B8" s="77" t="s">
        <v>899</v>
      </c>
      <c r="C8" s="77"/>
      <c r="D8" s="77"/>
      <c r="E8" s="77"/>
      <c r="F8" s="77"/>
      <c r="G8" s="77"/>
      <c r="H8" s="77"/>
      <c r="I8" s="77"/>
      <c r="J8" s="77"/>
      <c r="K8" s="77"/>
      <c r="L8" s="77"/>
      <c r="M8" s="77"/>
    </row>
    <row r="9" spans="1:13">
      <c r="A9" s="77"/>
      <c r="B9" s="77"/>
      <c r="C9" s="77"/>
      <c r="D9" s="77"/>
      <c r="E9" s="77"/>
      <c r="F9" s="77"/>
      <c r="G9" s="77"/>
      <c r="H9" s="77"/>
      <c r="I9" s="77"/>
      <c r="J9" s="77"/>
      <c r="K9" s="77"/>
      <c r="L9" s="77"/>
      <c r="M9" s="77"/>
    </row>
    <row r="10" spans="1:13">
      <c r="A10" s="77"/>
      <c r="B10" s="21" t="s">
        <v>861</v>
      </c>
      <c r="C10" s="77"/>
      <c r="D10" s="77"/>
      <c r="E10" s="77"/>
      <c r="F10" s="77"/>
      <c r="G10" s="77"/>
      <c r="H10" s="77"/>
      <c r="I10" s="77"/>
      <c r="J10" s="77"/>
      <c r="K10" s="77"/>
      <c r="L10" s="77"/>
      <c r="M10" s="77"/>
    </row>
    <row r="11" spans="1:13">
      <c r="A11" s="77"/>
      <c r="B11" s="214" t="s">
        <v>12</v>
      </c>
      <c r="C11" s="77"/>
      <c r="D11" s="77"/>
      <c r="E11" s="77"/>
      <c r="F11" s="77"/>
      <c r="G11" s="77"/>
      <c r="H11" s="77"/>
      <c r="I11" s="77"/>
      <c r="J11" s="77"/>
      <c r="K11" s="77"/>
      <c r="L11" s="77"/>
      <c r="M11" s="77"/>
    </row>
    <row r="12" spans="1:13">
      <c r="A12" s="77"/>
      <c r="B12" s="217" t="s">
        <v>15</v>
      </c>
      <c r="C12" s="77"/>
      <c r="D12" s="77"/>
      <c r="E12" s="77"/>
      <c r="F12" s="77"/>
      <c r="G12" s="77"/>
      <c r="H12" s="77"/>
      <c r="I12" s="77"/>
      <c r="J12" s="77"/>
      <c r="K12" s="77"/>
      <c r="L12" s="77"/>
      <c r="M12" s="77"/>
    </row>
    <row r="13" spans="1:13">
      <c r="A13" s="77"/>
      <c r="B13" s="217" t="s">
        <v>21</v>
      </c>
      <c r="C13" s="77"/>
      <c r="D13" s="77"/>
      <c r="E13" s="77"/>
      <c r="F13" s="77"/>
      <c r="G13" s="77"/>
      <c r="H13" s="77"/>
      <c r="I13" s="77"/>
      <c r="J13" s="77"/>
      <c r="K13" s="77"/>
      <c r="L13" s="77"/>
      <c r="M13" s="77"/>
    </row>
    <row r="14" spans="1:13">
      <c r="A14" s="77"/>
      <c r="B14" s="214" t="s">
        <v>142</v>
      </c>
      <c r="C14" s="77"/>
      <c r="D14" s="77"/>
      <c r="E14" s="77"/>
      <c r="F14" s="77"/>
      <c r="G14" s="77"/>
      <c r="H14" s="77"/>
      <c r="I14" s="77"/>
      <c r="J14" s="77"/>
      <c r="K14" s="77"/>
      <c r="L14" s="77"/>
      <c r="M14" s="77"/>
    </row>
    <row r="15" spans="1:13">
      <c r="A15" s="77"/>
      <c r="B15" s="214" t="s">
        <v>143</v>
      </c>
      <c r="C15" s="77"/>
      <c r="D15" s="77"/>
      <c r="E15" s="77"/>
      <c r="F15" s="77"/>
      <c r="G15" s="77"/>
      <c r="H15" s="77"/>
      <c r="I15" s="77"/>
      <c r="J15" s="77"/>
      <c r="K15" s="77"/>
      <c r="L15" s="77"/>
      <c r="M15" s="77"/>
    </row>
    <row r="16" spans="1:13">
      <c r="A16" s="77"/>
      <c r="B16" s="77"/>
      <c r="C16" s="77"/>
      <c r="D16" s="77"/>
      <c r="E16" s="77"/>
      <c r="F16" s="77"/>
      <c r="G16" s="77"/>
      <c r="H16" s="77"/>
      <c r="I16" s="77"/>
      <c r="J16" s="77"/>
      <c r="K16" s="77"/>
      <c r="L16" s="77"/>
      <c r="M16" s="77"/>
    </row>
    <row r="17" spans="1:13">
      <c r="A17" s="77"/>
      <c r="B17" s="216" t="s">
        <v>862</v>
      </c>
      <c r="C17" s="77"/>
      <c r="D17" s="77"/>
      <c r="E17" s="77"/>
      <c r="F17" s="77"/>
      <c r="G17" s="77"/>
      <c r="H17" s="77"/>
      <c r="I17" s="77"/>
      <c r="J17" s="77"/>
      <c r="K17" s="77"/>
      <c r="L17" s="77"/>
      <c r="M17" s="77"/>
    </row>
    <row r="18" spans="1:13">
      <c r="A18" s="77"/>
      <c r="B18" s="214" t="s">
        <v>4</v>
      </c>
      <c r="C18" s="77"/>
      <c r="D18" s="77"/>
      <c r="E18" s="77"/>
      <c r="F18" s="77"/>
      <c r="G18" s="77"/>
      <c r="H18" s="77"/>
      <c r="I18" s="77"/>
      <c r="J18" s="77"/>
      <c r="K18" s="77"/>
      <c r="L18" s="77"/>
      <c r="M18" s="77"/>
    </row>
    <row r="19" spans="1:13">
      <c r="A19" s="77"/>
      <c r="B19" s="217" t="s">
        <v>44</v>
      </c>
      <c r="C19" s="531"/>
      <c r="D19" s="77"/>
      <c r="E19" s="77"/>
      <c r="F19" s="77"/>
      <c r="G19" s="77"/>
      <c r="H19" s="77"/>
      <c r="I19" s="77"/>
      <c r="J19" s="77"/>
      <c r="K19" s="77"/>
      <c r="L19" s="77"/>
      <c r="M19" s="77"/>
    </row>
    <row r="20" spans="1:13">
      <c r="A20" s="77"/>
      <c r="B20" s="217" t="s">
        <v>45</v>
      </c>
      <c r="C20" s="531"/>
      <c r="D20" s="77"/>
      <c r="E20" s="77"/>
      <c r="F20" s="77"/>
      <c r="G20" s="77"/>
      <c r="H20" s="77"/>
      <c r="I20" s="77"/>
      <c r="J20" s="77"/>
      <c r="K20" s="77"/>
      <c r="L20" s="77"/>
      <c r="M20" s="77"/>
    </row>
    <row r="21" spans="1:13">
      <c r="A21" s="77"/>
      <c r="B21" s="217" t="s">
        <v>22</v>
      </c>
      <c r="C21" s="531"/>
      <c r="D21" s="77"/>
      <c r="E21" s="77"/>
      <c r="F21" s="77"/>
      <c r="G21" s="77"/>
      <c r="H21" s="77"/>
      <c r="I21" s="77"/>
      <c r="J21" s="77"/>
      <c r="K21" s="77"/>
      <c r="L21" s="77"/>
      <c r="M21" s="77"/>
    </row>
    <row r="22" spans="1:13">
      <c r="A22" s="77"/>
      <c r="B22" s="215" t="s">
        <v>3</v>
      </c>
      <c r="C22" s="77"/>
      <c r="D22" s="77"/>
      <c r="E22" s="77"/>
      <c r="F22" s="77"/>
      <c r="G22" s="77"/>
      <c r="H22" s="77"/>
      <c r="I22" s="77"/>
      <c r="J22" s="77"/>
      <c r="K22" s="77"/>
      <c r="L22" s="77"/>
      <c r="M22" s="77"/>
    </row>
    <row r="23" spans="1:13">
      <c r="A23" s="77"/>
      <c r="B23" s="217" t="s">
        <v>27</v>
      </c>
      <c r="C23" s="77"/>
      <c r="D23" s="77"/>
      <c r="E23" s="77"/>
      <c r="F23" s="77"/>
      <c r="G23" s="212"/>
      <c r="H23" s="77"/>
      <c r="I23" s="77"/>
      <c r="J23" s="77"/>
      <c r="K23" s="77"/>
      <c r="L23" s="77"/>
      <c r="M23" s="77"/>
    </row>
    <row r="24" spans="1:13">
      <c r="A24" s="77"/>
      <c r="B24" s="217" t="s">
        <v>26</v>
      </c>
      <c r="C24" s="77"/>
      <c r="D24" s="77"/>
      <c r="E24" s="77"/>
      <c r="F24" s="77"/>
      <c r="G24" s="77"/>
      <c r="H24" s="77"/>
      <c r="I24" s="77"/>
      <c r="J24" s="77"/>
      <c r="K24" s="77"/>
      <c r="L24" s="77"/>
      <c r="M24" s="77"/>
    </row>
    <row r="25" spans="1:13">
      <c r="A25" s="77"/>
      <c r="B25" s="214" t="s">
        <v>28</v>
      </c>
      <c r="C25" s="77"/>
      <c r="D25" s="77"/>
      <c r="E25" s="77"/>
      <c r="F25" s="77"/>
      <c r="G25" s="77"/>
      <c r="H25" s="77"/>
      <c r="I25" s="77"/>
      <c r="J25" s="77"/>
      <c r="K25" s="77"/>
      <c r="L25" s="77"/>
      <c r="M25" s="77"/>
    </row>
    <row r="26" spans="1:13">
      <c r="A26" s="77"/>
      <c r="B26" s="214" t="s">
        <v>29</v>
      </c>
      <c r="C26" s="77"/>
      <c r="D26" s="77"/>
      <c r="E26" s="77"/>
      <c r="F26" s="77"/>
      <c r="G26" s="77"/>
      <c r="H26" s="77"/>
      <c r="I26" s="77"/>
      <c r="J26" s="77"/>
      <c r="K26" s="77"/>
      <c r="L26" s="77"/>
      <c r="M26" s="77"/>
    </row>
    <row r="27" spans="1:13">
      <c r="A27" s="77"/>
      <c r="B27" s="214" t="s">
        <v>5</v>
      </c>
      <c r="C27" s="77"/>
      <c r="D27" s="77"/>
      <c r="E27" s="77"/>
      <c r="F27" s="77"/>
      <c r="G27" s="77"/>
      <c r="H27" s="77"/>
      <c r="I27" s="77"/>
      <c r="J27" s="77"/>
      <c r="K27" s="77"/>
      <c r="L27" s="77"/>
      <c r="M27" s="77"/>
    </row>
    <row r="28" spans="1:13">
      <c r="A28" s="77"/>
      <c r="B28" s="215" t="s">
        <v>385</v>
      </c>
      <c r="C28" s="77"/>
      <c r="D28" s="77"/>
      <c r="E28" s="77"/>
      <c r="F28" s="77"/>
      <c r="G28" s="77"/>
      <c r="H28" s="77"/>
      <c r="I28" s="77"/>
      <c r="J28" s="77"/>
      <c r="K28" s="77"/>
      <c r="L28" s="77"/>
      <c r="M28" s="77"/>
    </row>
    <row r="29" spans="1:13">
      <c r="A29" s="77"/>
      <c r="B29" s="214" t="s">
        <v>374</v>
      </c>
      <c r="C29" s="77"/>
      <c r="D29" s="77"/>
      <c r="E29" s="77"/>
      <c r="F29" s="77"/>
      <c r="G29" s="77"/>
      <c r="H29" s="77"/>
      <c r="I29" s="77"/>
      <c r="J29" s="77"/>
      <c r="K29" s="77"/>
      <c r="L29" s="77"/>
      <c r="M29" s="77"/>
    </row>
    <row r="30" spans="1:13">
      <c r="A30" s="77"/>
      <c r="B30" s="214" t="s">
        <v>6</v>
      </c>
      <c r="C30" s="77"/>
      <c r="D30" s="77"/>
      <c r="E30" s="77"/>
      <c r="F30" s="77"/>
      <c r="G30" s="77"/>
      <c r="H30" s="77"/>
      <c r="I30" s="77"/>
      <c r="J30" s="77"/>
      <c r="K30" s="77"/>
      <c r="L30" s="77"/>
      <c r="M30" s="77"/>
    </row>
    <row r="31" spans="1:13">
      <c r="A31" s="77"/>
      <c r="B31" s="215" t="s">
        <v>30</v>
      </c>
      <c r="C31" s="77"/>
      <c r="D31" s="77"/>
      <c r="E31" s="77"/>
      <c r="F31" s="77"/>
      <c r="G31" s="77"/>
      <c r="H31" s="77"/>
      <c r="I31" s="77"/>
      <c r="J31" s="77"/>
      <c r="K31" s="77"/>
      <c r="L31" s="77"/>
      <c r="M31" s="77"/>
    </row>
    <row r="32" spans="1:13">
      <c r="A32" s="77"/>
      <c r="B32" s="215" t="s">
        <v>31</v>
      </c>
      <c r="C32" s="77"/>
      <c r="D32" s="77"/>
      <c r="E32" s="77"/>
      <c r="F32" s="77"/>
      <c r="G32" s="77"/>
      <c r="H32" s="77"/>
      <c r="I32" s="77"/>
      <c r="J32" s="77"/>
      <c r="K32" s="77"/>
      <c r="L32" s="77"/>
      <c r="M32" s="77"/>
    </row>
    <row r="33" spans="1:15" ht="17" customHeight="1">
      <c r="A33" s="77"/>
      <c r="B33" s="77"/>
      <c r="C33" s="77"/>
      <c r="D33" s="77"/>
      <c r="E33" s="77"/>
      <c r="F33" s="77"/>
      <c r="G33" s="77"/>
      <c r="H33" s="77"/>
      <c r="I33" s="77"/>
      <c r="J33" s="77"/>
      <c r="K33" s="77"/>
      <c r="L33" s="77"/>
      <c r="M33" s="77"/>
    </row>
    <row r="46" spans="1:15">
      <c r="O46" s="21"/>
    </row>
  </sheetData>
  <phoneticPr fontId="55" type="noConversion"/>
  <hyperlinks>
    <hyperlink ref="B11" location="Oil!A1" display="Oil!A1" xr:uid="{00000000-0004-0000-0600-000000000000}"/>
    <hyperlink ref="B12" location="'Conventional Oil'!A1" display="'Conventional Oil'!A1" xr:uid="{00000000-0004-0000-0600-000001000000}"/>
    <hyperlink ref="B13" location="'Unconventional Oil'!A1" display="'Unconventional Oil'!A1" xr:uid="{00000000-0004-0000-0600-000002000000}"/>
    <hyperlink ref="B14" location="Ethanol!A1" display="Ethanol!A1" xr:uid="{00000000-0004-0000-0600-000003000000}"/>
    <hyperlink ref="B15" location="Biodiesel!A1" display="Biodiesel!A1" xr:uid="{00000000-0004-0000-0600-000004000000}"/>
    <hyperlink ref="B19" location="'Subbituminous Coal'!A1" display="'Subbituminous Coal'!A1" xr:uid="{00000000-0004-0000-0600-000005000000}"/>
    <hyperlink ref="B22" location="'Natural Gas'!A1" display="'Natural Gas'!A1" xr:uid="{00000000-0004-0000-0600-000006000000}"/>
    <hyperlink ref="B23" location="'Conventional Natural Gas'!A1" display="'Conventional Natural Gas'!A1" xr:uid="{00000000-0004-0000-0600-000007000000}"/>
    <hyperlink ref="B24" location="'Unconventional Natural Gas'!A1" display="'Unconventional Natural Gas'!A1" xr:uid="{00000000-0004-0000-0600-000008000000}"/>
    <hyperlink ref="B25" location="Uranium!A1" display="Uranium!A1" xr:uid="{00000000-0004-0000-0600-000009000000}"/>
    <hyperlink ref="B26" location="Hydropower!A1" display="Hydropower!A1" xr:uid="{00000000-0004-0000-0600-00000A000000}"/>
    <hyperlink ref="B27" location="Wind!A1" display="Wind!A1" xr:uid="{00000000-0004-0000-0600-00000B000000}"/>
    <hyperlink ref="B28" location="'Solid Biomass and RDF'!A1" display="'Solid Biomass and RDF'!A1" xr:uid="{00000000-0004-0000-0600-00000C000000}"/>
    <hyperlink ref="B29" location="Biogas!A1" display="Biogas!A1" xr:uid="{00000000-0004-0000-0600-00000D000000}"/>
    <hyperlink ref="B30" location="Geothermal!A1" display="Geothermal!A1" xr:uid="{00000000-0004-0000-0600-00000E000000}"/>
    <hyperlink ref="B31" location="'Solar Photovoltaic'!A1" display="'Solar Photovoltaic'!A1" xr:uid="{00000000-0004-0000-0600-00000F000000}"/>
    <hyperlink ref="B32" location="'Solar Thermal'!A1" display="'Solar Thermal'!A1" xr:uid="{00000000-0004-0000-0600-000010000000}"/>
    <hyperlink ref="B18" location="Coal!A1" display="Coal!A1" xr:uid="{00000000-0004-0000-0600-000011000000}"/>
    <hyperlink ref="B21" location="'Lignite Coal'!A1" display="'Lignite Coal'!A1" xr:uid="{00000000-0004-0000-0600-000012000000}"/>
    <hyperlink ref="B20" location="'Bituminous Coal'!A1" display="'Bituminous Coal'!A1" xr:uid="{00000000-0004-0000-0600-000013000000}"/>
  </hyperlinks>
  <pageMargins left="0.75" right="0.75" top="1" bottom="1" header="0.5" footer="0.5"/>
  <pageSetup paperSize="3" orientation="landscape" horizontalDpi="0" verticalDpi="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499984740745262"/>
    <pageSetUpPr fitToPage="1"/>
  </sheetPr>
  <dimension ref="A1:AK66"/>
  <sheetViews>
    <sheetView workbookViewId="0"/>
  </sheetViews>
  <sheetFormatPr baseColWidth="10" defaultRowHeight="15"/>
  <cols>
    <col min="1" max="1" width="15.83203125" style="16" customWidth="1"/>
    <col min="2" max="2" width="30.83203125" style="16" customWidth="1"/>
    <col min="3" max="4" width="10.83203125" style="16" customWidth="1"/>
    <col min="6" max="9" width="10.83203125" style="16"/>
    <col min="10" max="10" width="10.83203125" style="16" hidden="1" customWidth="1"/>
    <col min="11" max="13" width="10.83203125" style="16"/>
    <col min="14" max="14" width="10.83203125" style="16" hidden="1" customWidth="1"/>
    <col min="15" max="17" width="10.83203125" style="16" customWidth="1"/>
    <col min="18"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1" width="11.6640625" style="16" hidden="1" customWidth="1"/>
    <col min="32" max="32" width="12.6640625" style="16" hidden="1" customWidth="1"/>
    <col min="33" max="33" width="10.83203125" style="16"/>
    <col min="34" max="35" width="11.1640625" style="16" bestFit="1" customWidth="1"/>
    <col min="36" max="36" width="10.83203125" style="16"/>
    <col min="37" max="37" width="11.1640625" style="16" bestFit="1" customWidth="1"/>
    <col min="38" max="16384" width="10.83203125" style="16"/>
  </cols>
  <sheetData>
    <row r="1" spans="1:37" ht="30">
      <c r="A1" s="231" t="s">
        <v>386</v>
      </c>
      <c r="B1" s="229"/>
      <c r="C1" s="479"/>
      <c r="D1" s="479"/>
      <c r="E1" s="230"/>
      <c r="F1" s="229"/>
      <c r="G1" s="229"/>
      <c r="H1" s="229"/>
      <c r="I1" s="229"/>
      <c r="J1" s="394"/>
      <c r="K1" s="229"/>
      <c r="L1" s="229"/>
      <c r="M1" s="229"/>
      <c r="N1" s="394"/>
      <c r="O1" s="229"/>
      <c r="P1" s="229"/>
      <c r="Q1" s="479"/>
      <c r="R1" s="479"/>
      <c r="S1" s="229"/>
      <c r="T1" s="229"/>
      <c r="U1" s="229"/>
      <c r="V1" s="394"/>
      <c r="W1" s="229"/>
      <c r="X1" s="229"/>
      <c r="Y1" s="229"/>
      <c r="Z1" s="394"/>
      <c r="AA1" s="229"/>
      <c r="AB1" s="229"/>
    </row>
    <row r="2" spans="1:37" ht="30">
      <c r="A2" s="231"/>
      <c r="B2" s="229"/>
      <c r="C2" s="229"/>
      <c r="D2" s="229"/>
      <c r="E2" s="230"/>
      <c r="F2" s="229"/>
      <c r="G2" s="229"/>
      <c r="H2" s="229"/>
      <c r="I2" s="229"/>
      <c r="J2" s="394"/>
      <c r="K2" s="229"/>
      <c r="L2" s="229"/>
      <c r="M2" s="229"/>
      <c r="N2" s="394"/>
      <c r="O2" s="229"/>
      <c r="P2" s="229"/>
      <c r="Q2" s="229"/>
      <c r="R2" s="229"/>
      <c r="S2" s="229"/>
      <c r="T2" s="229"/>
      <c r="U2" s="229"/>
      <c r="V2" s="394"/>
      <c r="W2" s="229"/>
      <c r="X2" s="229"/>
      <c r="Y2" s="229"/>
      <c r="Z2" s="394"/>
      <c r="AA2" s="229"/>
      <c r="AB2" s="229"/>
    </row>
    <row r="3" spans="1:37" ht="30">
      <c r="A3" s="231"/>
      <c r="B3" s="229"/>
      <c r="C3" s="229"/>
      <c r="D3" s="229"/>
      <c r="E3" s="230"/>
      <c r="F3" s="229"/>
      <c r="G3" s="229"/>
      <c r="H3" s="229"/>
      <c r="I3" s="229"/>
      <c r="J3" s="394"/>
      <c r="K3" s="229"/>
      <c r="L3" s="229"/>
      <c r="M3" s="229"/>
      <c r="N3" s="394"/>
      <c r="O3" s="229"/>
      <c r="P3" s="229"/>
      <c r="Q3" s="229"/>
      <c r="R3" s="229"/>
      <c r="S3" s="229"/>
      <c r="T3" s="229"/>
      <c r="U3" s="229"/>
      <c r="V3" s="394"/>
      <c r="W3" s="229"/>
      <c r="X3" s="229"/>
      <c r="Y3" s="229"/>
      <c r="Z3" s="394"/>
      <c r="AA3" s="229"/>
      <c r="AB3" s="229"/>
    </row>
    <row r="4" spans="1:37" ht="30">
      <c r="A4" s="231"/>
      <c r="B4" s="229"/>
      <c r="C4" s="229"/>
      <c r="D4" s="229"/>
      <c r="E4" s="230"/>
      <c r="F4" s="229"/>
      <c r="G4" s="229"/>
      <c r="H4" s="229"/>
      <c r="I4" s="229"/>
      <c r="J4" s="394"/>
      <c r="K4" s="229"/>
      <c r="L4" s="229"/>
      <c r="M4" s="229"/>
      <c r="N4" s="394"/>
      <c r="O4" s="229"/>
      <c r="P4" s="229"/>
      <c r="Q4" s="229"/>
      <c r="R4" s="229"/>
      <c r="S4" s="229"/>
      <c r="T4" s="229"/>
      <c r="U4" s="229"/>
      <c r="V4" s="394"/>
      <c r="W4" s="229"/>
      <c r="X4" s="229"/>
      <c r="Y4" s="229"/>
      <c r="Z4" s="394"/>
      <c r="AA4" s="229"/>
      <c r="AB4" s="229"/>
    </row>
    <row r="5" spans="1:37" ht="30">
      <c r="A5" s="231"/>
      <c r="B5" s="229"/>
      <c r="C5" s="229"/>
      <c r="D5" s="229"/>
      <c r="E5" s="230"/>
      <c r="F5" s="229"/>
      <c r="G5" s="229"/>
      <c r="H5" s="229"/>
      <c r="I5" s="229"/>
      <c r="J5" s="394"/>
      <c r="K5" s="229"/>
      <c r="L5" s="229"/>
      <c r="M5" s="229"/>
      <c r="N5" s="394"/>
      <c r="O5" s="229"/>
      <c r="P5" s="229"/>
      <c r="Q5" s="229"/>
      <c r="R5" s="229"/>
      <c r="S5" s="229"/>
      <c r="T5" s="229"/>
      <c r="U5" s="229"/>
      <c r="V5" s="394"/>
      <c r="W5" s="229"/>
      <c r="X5" s="229"/>
      <c r="Y5" s="229"/>
      <c r="Z5" s="394"/>
      <c r="AA5" s="229"/>
      <c r="AB5" s="229"/>
    </row>
    <row r="6" spans="1:37" ht="30">
      <c r="A6" s="231"/>
      <c r="B6" s="229"/>
      <c r="C6" s="229"/>
      <c r="D6" s="229"/>
      <c r="E6" s="230"/>
      <c r="F6" s="229"/>
      <c r="G6" s="229"/>
      <c r="H6" s="229"/>
      <c r="I6" s="229"/>
      <c r="J6" s="394"/>
      <c r="K6" s="229"/>
      <c r="L6" s="229"/>
      <c r="M6" s="229"/>
      <c r="N6" s="394"/>
      <c r="O6" s="229"/>
      <c r="P6" s="229"/>
      <c r="Q6" s="229"/>
      <c r="R6" s="229"/>
      <c r="S6" s="229"/>
      <c r="T6" s="229"/>
      <c r="U6" s="229"/>
      <c r="V6" s="394"/>
      <c r="W6" s="229"/>
      <c r="X6" s="229"/>
      <c r="Y6" s="229"/>
      <c r="Z6" s="394"/>
      <c r="AA6" s="229"/>
      <c r="AB6" s="229"/>
    </row>
    <row r="7" spans="1:37" ht="30">
      <c r="A7" s="231"/>
      <c r="B7" s="229"/>
      <c r="C7" s="229"/>
      <c r="D7" s="229"/>
      <c r="E7" s="230"/>
      <c r="F7" s="229"/>
      <c r="G7" s="229"/>
      <c r="H7" s="229"/>
      <c r="I7" s="229"/>
      <c r="J7" s="394"/>
      <c r="K7" s="229"/>
      <c r="L7" s="229"/>
      <c r="M7" s="229"/>
      <c r="N7" s="394"/>
      <c r="O7" s="229"/>
      <c r="P7" s="229"/>
      <c r="Q7" s="229"/>
      <c r="R7" s="229"/>
      <c r="S7" s="229"/>
      <c r="T7" s="229"/>
      <c r="U7" s="229"/>
      <c r="V7" s="394"/>
      <c r="W7" s="229"/>
      <c r="X7" s="229"/>
      <c r="Y7" s="229"/>
      <c r="Z7" s="394"/>
      <c r="AA7" s="229"/>
      <c r="AB7" s="229"/>
    </row>
    <row r="8" spans="1:37" ht="30">
      <c r="A8" s="231"/>
      <c r="B8" s="229"/>
      <c r="C8" s="229"/>
      <c r="D8" s="229"/>
      <c r="E8" s="230"/>
      <c r="F8" s="229"/>
      <c r="G8" s="229"/>
      <c r="H8" s="229"/>
      <c r="I8" s="229"/>
      <c r="J8" s="394"/>
      <c r="K8" s="229"/>
      <c r="L8" s="229"/>
      <c r="M8" s="229"/>
      <c r="N8" s="394"/>
      <c r="O8" s="229"/>
      <c r="P8" s="229"/>
      <c r="Q8" s="229"/>
      <c r="R8" s="229"/>
      <c r="S8" s="229"/>
      <c r="T8" s="229"/>
      <c r="U8" s="229"/>
      <c r="V8" s="394"/>
      <c r="W8" s="229"/>
      <c r="X8" s="229"/>
      <c r="Y8" s="229"/>
      <c r="Z8" s="394"/>
      <c r="AA8" s="229"/>
      <c r="AB8" s="229"/>
    </row>
    <row r="9" spans="1:37" ht="31" thickBot="1">
      <c r="A9" s="231"/>
      <c r="B9" s="229"/>
      <c r="C9" s="229"/>
      <c r="D9" s="229"/>
      <c r="E9" s="230"/>
      <c r="F9" s="229"/>
      <c r="G9" s="229"/>
      <c r="H9" s="229"/>
      <c r="I9" s="229"/>
      <c r="J9" s="394"/>
      <c r="K9" s="229"/>
      <c r="L9" s="229"/>
      <c r="M9" s="229"/>
      <c r="N9" s="394"/>
      <c r="O9" s="229"/>
      <c r="P9" s="229"/>
      <c r="Q9" s="229"/>
      <c r="R9" s="229"/>
      <c r="S9" s="229"/>
      <c r="T9" s="229"/>
      <c r="U9" s="229"/>
      <c r="V9" s="394"/>
      <c r="W9" s="229"/>
      <c r="X9" s="229"/>
      <c r="Y9" s="229"/>
      <c r="Z9" s="394"/>
      <c r="AA9" s="229"/>
      <c r="AB9" s="229"/>
    </row>
    <row r="10" spans="1:37"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7" ht="40" customHeight="1">
      <c r="A11" s="233" t="s">
        <v>387</v>
      </c>
      <c r="B11" s="233" t="s">
        <v>388</v>
      </c>
      <c r="C11" s="258" t="s">
        <v>389</v>
      </c>
      <c r="D11" s="259" t="s">
        <v>866</v>
      </c>
      <c r="E11" s="259" t="s">
        <v>867</v>
      </c>
      <c r="F11" s="260" t="s">
        <v>392</v>
      </c>
      <c r="G11" s="261" t="s">
        <v>863</v>
      </c>
      <c r="H11" s="262" t="s">
        <v>394</v>
      </c>
      <c r="I11" s="263" t="s">
        <v>395</v>
      </c>
      <c r="J11" s="264" t="s">
        <v>396</v>
      </c>
      <c r="K11" s="500" t="s">
        <v>865</v>
      </c>
      <c r="L11" s="265" t="s">
        <v>864</v>
      </c>
      <c r="M11" s="266" t="s">
        <v>399</v>
      </c>
      <c r="N11" s="264" t="s">
        <v>400</v>
      </c>
      <c r="O11" s="275" t="s">
        <v>390</v>
      </c>
      <c r="P11" s="259" t="s">
        <v>866</v>
      </c>
      <c r="Q11" s="259" t="s">
        <v>867</v>
      </c>
      <c r="R11" s="260" t="s">
        <v>392</v>
      </c>
      <c r="S11" s="261" t="s">
        <v>863</v>
      </c>
      <c r="T11" s="262" t="s">
        <v>394</v>
      </c>
      <c r="U11" s="263" t="s">
        <v>395</v>
      </c>
      <c r="V11" s="264" t="s">
        <v>396</v>
      </c>
      <c r="W11" s="500" t="s">
        <v>865</v>
      </c>
      <c r="X11" s="265" t="s">
        <v>864</v>
      </c>
      <c r="Y11" s="266" t="s">
        <v>399</v>
      </c>
      <c r="Z11" s="264" t="s">
        <v>400</v>
      </c>
      <c r="AA11" s="258" t="s">
        <v>391</v>
      </c>
      <c r="AB11" s="267" t="s">
        <v>869</v>
      </c>
      <c r="AD11" s="16" t="s">
        <v>252</v>
      </c>
      <c r="AE11" s="18">
        <f>L13*C13</f>
        <v>585307669.51195383</v>
      </c>
      <c r="AF11" s="18">
        <f>X13*O13</f>
        <v>3310138527.4006786</v>
      </c>
    </row>
    <row r="12" spans="1:37" ht="15" customHeight="1" thickBot="1">
      <c r="A12" s="268"/>
      <c r="B12" s="268" t="s">
        <v>48</v>
      </c>
      <c r="C12" s="269">
        <f>SUM(C15:C32)</f>
        <v>2067540235.7063119</v>
      </c>
      <c r="D12" s="269"/>
      <c r="E12" s="269">
        <f>SUM(E15:E32)</f>
        <v>6.0137241158291777E-2</v>
      </c>
      <c r="F12" s="270"/>
      <c r="G12" s="270"/>
      <c r="H12" s="270"/>
      <c r="I12" s="270"/>
      <c r="J12" s="270"/>
      <c r="K12" s="501"/>
      <c r="L12" s="270"/>
      <c r="M12" s="270"/>
      <c r="N12" s="270"/>
      <c r="O12" s="276">
        <f>SUM(O15:O32)</f>
        <v>7031630929.1737299</v>
      </c>
      <c r="P12" s="268"/>
      <c r="Q12" s="269">
        <f>SUM(Q15:Q32)</f>
        <v>0.20452462187724529</v>
      </c>
      <c r="R12" s="270"/>
      <c r="S12" s="270"/>
      <c r="T12" s="270"/>
      <c r="U12" s="270"/>
      <c r="V12" s="270"/>
      <c r="W12" s="501"/>
      <c r="X12" s="270"/>
      <c r="Y12" s="270"/>
      <c r="Z12" s="270"/>
      <c r="AA12" s="235"/>
      <c r="AB12" s="236"/>
      <c r="AD12" s="16" t="s">
        <v>887</v>
      </c>
      <c r="AE12" s="18">
        <f>K13*C13</f>
        <v>2581699841.1580892</v>
      </c>
      <c r="AF12" s="18">
        <f>W13*O13</f>
        <v>4823754705.0593014</v>
      </c>
    </row>
    <row r="13" spans="1:37" ht="15" customHeight="1" thickTop="1" thickBot="1">
      <c r="A13" s="271"/>
      <c r="B13" s="271" t="s">
        <v>870</v>
      </c>
      <c r="C13" s="272">
        <f>SUM(C15:C29)</f>
        <v>3174122426.0036516</v>
      </c>
      <c r="D13" s="272"/>
      <c r="E13" s="272">
        <f>SUM(E15:E27)</f>
        <v>9.2323700647747933E-2</v>
      </c>
      <c r="F13" s="282">
        <f>SUMPRODUCT(F15:F29,$C$15:$C$29)/SUM($C$15:$C$29)</f>
        <v>0.23116057660230332</v>
      </c>
      <c r="G13" s="282">
        <f>SUMPRODUCT(G15:G29,$C$15:$C$29)/SUM($C$15:$C$29)</f>
        <v>7.9263942370149595E-2</v>
      </c>
      <c r="H13" s="282">
        <f>SUMPRODUCT(H15:H29,$C$15:$C$29)/SUM($C$15:$C$29)</f>
        <v>0.18985893542444465</v>
      </c>
      <c r="I13" s="282">
        <f>SUMPRODUCT(I15:I29,$C$15:$C$29)/SUM($C$15:$C$29)</f>
        <v>0.4997165456031023</v>
      </c>
      <c r="J13" s="430">
        <f>SUM(F13:I13)</f>
        <v>0.99999999999999989</v>
      </c>
      <c r="K13" s="393">
        <f>SUMPRODUCT(K15:K29,$C$15:$C$29)/SUM($C$15:$C$29)</f>
        <v>0.81335862158554284</v>
      </c>
      <c r="L13" s="282">
        <f>SUMPRODUCT(L15:L29,$C$15:$C$29)/SUM($C$15:$C$29)</f>
        <v>0.18439984063528383</v>
      </c>
      <c r="M13" s="282">
        <f>SUMPRODUCT(M15:M29,$C$15:$C$29)/SUM($C$15:$C$29)</f>
        <v>2.2415377791732702E-3</v>
      </c>
      <c r="N13" s="430">
        <f>SUM(K13:M13)</f>
        <v>0.99999999999999989</v>
      </c>
      <c r="O13" s="277">
        <f>SUM(O15:O29)</f>
        <v>8138213119.4710693</v>
      </c>
      <c r="P13" s="271"/>
      <c r="Q13" s="272">
        <f>SUM(Q15:Q27)</f>
        <v>0.23671108136670144</v>
      </c>
      <c r="R13" s="282">
        <f t="shared" ref="R13:Y13" si="0">SUMPRODUCT(R15:R29,$O$15:$O$29)/SUM($O$15:$O$29)</f>
        <v>0.28664705332439316</v>
      </c>
      <c r="S13" s="282">
        <f t="shared" si="0"/>
        <v>7.5922528438949116E-2</v>
      </c>
      <c r="T13" s="282">
        <f t="shared" si="0"/>
        <v>0.26023337514539097</v>
      </c>
      <c r="U13" s="282">
        <f t="shared" si="0"/>
        <v>0.37719704309126667</v>
      </c>
      <c r="V13" s="430">
        <f>SUM(R13:U13)</f>
        <v>0.99999999999999989</v>
      </c>
      <c r="W13" s="393">
        <f t="shared" si="0"/>
        <v>0.59272897308602479</v>
      </c>
      <c r="X13" s="282">
        <f>SUMPRODUCT(X15:X29,$O$15:$O$29)/SUM($O$15:$O$29)</f>
        <v>0.40674021174021752</v>
      </c>
      <c r="Y13" s="282">
        <f t="shared" si="0"/>
        <v>5.3081517375769456E-4</v>
      </c>
      <c r="Z13" s="430">
        <f>SUM(W13:Y13)</f>
        <v>1</v>
      </c>
      <c r="AA13" s="273"/>
      <c r="AB13" s="274"/>
      <c r="AD13" s="16" t="s">
        <v>888</v>
      </c>
      <c r="AE13" s="18">
        <f>M13*C13</f>
        <v>7114915.3336082976</v>
      </c>
      <c r="AF13" s="18">
        <f>Y13*O13</f>
        <v>4319887.0110891853</v>
      </c>
    </row>
    <row r="14" spans="1:37" ht="15" customHeight="1" thickTop="1" thickBot="1">
      <c r="A14" s="224" t="s">
        <v>591</v>
      </c>
      <c r="C14" s="232"/>
      <c r="D14" s="232"/>
      <c r="E14" s="232"/>
      <c r="F14" s="232"/>
      <c r="G14" s="232"/>
      <c r="H14" s="232"/>
      <c r="I14" s="232"/>
      <c r="J14" s="232"/>
      <c r="K14" s="301"/>
      <c r="L14" s="244"/>
      <c r="M14" s="232"/>
      <c r="N14" s="232"/>
      <c r="O14" s="278"/>
      <c r="P14" s="232"/>
      <c r="Q14" s="232"/>
      <c r="R14" s="232"/>
      <c r="S14" s="232"/>
      <c r="T14" s="232"/>
      <c r="U14" s="232"/>
      <c r="V14" s="232"/>
      <c r="W14" s="301"/>
      <c r="X14" s="244"/>
      <c r="Y14" s="232"/>
      <c r="Z14" s="232"/>
      <c r="AA14" s="237"/>
      <c r="AB14" s="238"/>
      <c r="AE14" s="18"/>
      <c r="AF14" s="18"/>
    </row>
    <row r="15" spans="1:37" ht="15" customHeight="1" thickTop="1" thickBot="1">
      <c r="A15" s="232"/>
      <c r="B15" s="232" t="s">
        <v>402</v>
      </c>
      <c r="C15" s="243">
        <f>'Intermediate o&amp;g entries'!B3*10^6</f>
        <v>16393017.535607932</v>
      </c>
      <c r="D15" s="243">
        <f>C15/AA15</f>
        <v>8.5262555600340649E-4</v>
      </c>
      <c r="E15" s="243">
        <f>C15/AB15</f>
        <v>4.7681338037621374E-4</v>
      </c>
      <c r="F15" s="240">
        <f>'Intermediate o&amp;g entries'!$B$7/'Intermediate o&amp;g entries'!$B$3</f>
        <v>0.89999999999999991</v>
      </c>
      <c r="G15" s="240"/>
      <c r="H15" s="240">
        <f>'Intermediate o&amp;g entries'!$B$9/'Intermediate o&amp;g entries'!$B$3</f>
        <v>4.0149625935162109E-2</v>
      </c>
      <c r="I15" s="240">
        <f>'Intermediate o&amp;g entries'!$B$10/'Intermediate o&amp;g entries'!$B$3</f>
        <v>5.9850374064837911E-2</v>
      </c>
      <c r="J15" s="430">
        <f t="shared" ref="J15:J27" si="1">SUM(F15:I15)</f>
        <v>1</v>
      </c>
      <c r="K15" s="299">
        <f>'Intermediate o&amp;g entries'!$B$4/'Intermediate o&amp;g entries'!$B$3</f>
        <v>0.5129999999999999</v>
      </c>
      <c r="L15" s="300">
        <f>'Intermediate o&amp;g entries'!$B$5/'Intermediate o&amp;g entries'!$B$3</f>
        <v>0.38700000000000001</v>
      </c>
      <c r="M15" s="240">
        <f>'Intermediate o&amp;g entries'!$B$6/'Intermediate o&amp;g entries'!$B$3</f>
        <v>0.1</v>
      </c>
      <c r="N15" s="430">
        <f>SUM(K15:M15)</f>
        <v>0.99999999999999989</v>
      </c>
      <c r="O15" s="279">
        <f>C15-'Intermediate o&amp;g entries'!B6*10^6</f>
        <v>14753715.782047139</v>
      </c>
      <c r="P15" s="243">
        <f>O15/AA15</f>
        <v>7.6736300040306589E-4</v>
      </c>
      <c r="Q15" s="243">
        <f>O15/AB15</f>
        <v>4.2913204233859236E-4</v>
      </c>
      <c r="R15" s="240">
        <f>'Intermediate o&amp;g entries'!$B$7/('Intermediate o&amp;g entries'!$B$3-'Intermediate o&amp;g entries'!$B$6)</f>
        <v>1</v>
      </c>
      <c r="S15" s="240"/>
      <c r="T15" s="240"/>
      <c r="U15" s="240"/>
      <c r="V15" s="430">
        <f t="shared" ref="V15:V27" si="2">SUM(R15:U15)</f>
        <v>1</v>
      </c>
      <c r="W15" s="299">
        <f>'Intermediate o&amp;g entries'!$B$4/('Intermediate o&amp;g entries'!$B$3-'Intermediate o&amp;g entries'!$B$6)</f>
        <v>0.56999999999999995</v>
      </c>
      <c r="X15" s="300">
        <f>'Intermediate o&amp;g entries'!$B$5/('Intermediate o&amp;g entries'!$B$3-'Intermediate o&amp;g entries'!$B$6)</f>
        <v>0.43000000000000005</v>
      </c>
      <c r="Y15" s="240"/>
      <c r="Z15" s="430">
        <f>SUM(W15:Y15)</f>
        <v>1</v>
      </c>
      <c r="AA15" s="241">
        <f>SUM('Energy data by fuel cycle'!$B$5:$B$6)</f>
        <v>19226514406.216599</v>
      </c>
      <c r="AB15" s="242">
        <f>SUM('Energy data by fuel cycle'!$G$5:$G$6)</f>
        <v>34380363912.341484</v>
      </c>
      <c r="AD15" s="16" t="s">
        <v>267</v>
      </c>
      <c r="AE15" s="18">
        <f>F13*C13</f>
        <v>733731970.20130599</v>
      </c>
      <c r="AF15" s="18">
        <f>R13*O13</f>
        <v>2332794810.0222998</v>
      </c>
    </row>
    <row r="16" spans="1:37" ht="15" customHeight="1" thickTop="1" thickBot="1">
      <c r="A16" s="232"/>
      <c r="B16" s="232" t="s">
        <v>403</v>
      </c>
      <c r="C16" s="243">
        <f>'Intermediate o&amp;g entries'!$K$3*10^6</f>
        <v>121846153.84615384</v>
      </c>
      <c r="D16" s="243">
        <f>C16/AA16</f>
        <v>1.3139547136323836E-2</v>
      </c>
      <c r="E16" s="243">
        <f>C16/AB16</f>
        <v>3.544062365274E-3</v>
      </c>
      <c r="F16" s="240">
        <f>'Intermediate o&amp;g entries'!$K$7/'Intermediate o&amp;g entries'!$K$3</f>
        <v>0.96</v>
      </c>
      <c r="G16" s="240"/>
      <c r="H16" s="240">
        <f>'Intermediate o&amp;g entries'!$K$9/'Intermediate o&amp;g entries'!$K$3</f>
        <v>1.7163036616161618E-2</v>
      </c>
      <c r="I16" s="240">
        <f>'Intermediate o&amp;g entries'!$K$10/'Intermediate o&amp;g entries'!$K$3</f>
        <v>2.2836963383838386E-2</v>
      </c>
      <c r="J16" s="430">
        <f t="shared" si="1"/>
        <v>0.99999999999999989</v>
      </c>
      <c r="K16" s="299">
        <f>'Intermediate o&amp;g entries'!$K$4/'Intermediate o&amp;g entries'!$K$3</f>
        <v>0.54719999999999991</v>
      </c>
      <c r="L16" s="300">
        <f>'Intermediate o&amp;g entries'!$K$5/'Intermediate o&amp;g entries'!$K$3</f>
        <v>0.41279999999999994</v>
      </c>
      <c r="M16" s="240">
        <f>'Intermediate o&amp;g entries'!$K$6/'Intermediate o&amp;g entries'!$K$3</f>
        <v>0.04</v>
      </c>
      <c r="N16" s="430">
        <f>SUM(K16:M16)</f>
        <v>0.99999999999999989</v>
      </c>
      <c r="O16" s="279">
        <f>'Intermediate o&amp;g entries'!$K$3*10^6-'Intermediate o&amp;g entries'!K6*10^6</f>
        <v>116972307.69230768</v>
      </c>
      <c r="P16" s="243">
        <f>O16/AA16</f>
        <v>1.2613965250870881E-2</v>
      </c>
      <c r="Q16" s="243">
        <f>O16/AB16</f>
        <v>3.4022998706630401E-3</v>
      </c>
      <c r="R16" s="240">
        <f>'Intermediate o&amp;g entries'!$K$7/('Intermediate o&amp;g entries'!$K$3-'Intermediate o&amp;g entries'!$K$6)</f>
        <v>1</v>
      </c>
      <c r="S16" s="240"/>
      <c r="T16" s="240"/>
      <c r="U16" s="240"/>
      <c r="V16" s="430">
        <f t="shared" si="2"/>
        <v>1</v>
      </c>
      <c r="W16" s="299">
        <f>'Intermediate o&amp;g entries'!$K$4/('Intermediate o&amp;g entries'!$K$3-'Intermediate o&amp;g entries'!$K$6)</f>
        <v>0.56999999999999984</v>
      </c>
      <c r="X16" s="300">
        <f>'Intermediate o&amp;g entries'!$K$5/('Intermediate o&amp;g entries'!$K$3-'Intermediate o&amp;g entries'!$K$6)</f>
        <v>0.43</v>
      </c>
      <c r="Y16" s="240"/>
      <c r="Z16" s="430">
        <f>SUM(W16:Y16)</f>
        <v>0.99999999999999978</v>
      </c>
      <c r="AA16" s="241">
        <f>'Energy data by fuel cycle'!$B$6</f>
        <v>9273238459.5900002</v>
      </c>
      <c r="AB16" s="242">
        <f>SUM('Energy data by fuel cycle'!$G$5:$G$6)</f>
        <v>34380363912.341484</v>
      </c>
      <c r="AD16" s="16" t="s">
        <v>654</v>
      </c>
      <c r="AE16" s="18">
        <f>G13*C13</f>
        <v>251593457.05055287</v>
      </c>
      <c r="AF16" s="18">
        <f>S13*O13</f>
        <v>617873717.00527108</v>
      </c>
      <c r="AH16" s="438"/>
      <c r="AI16" s="438"/>
      <c r="AJ16" s="438"/>
      <c r="AK16" s="438"/>
    </row>
    <row r="17" spans="1:37" ht="15" customHeight="1" thickTop="1" thickBot="1">
      <c r="A17" s="232"/>
      <c r="B17" s="232" t="s">
        <v>404</v>
      </c>
      <c r="C17" s="243">
        <f>'Intermediate o&amp;g entries'!$N$7*10^6</f>
        <v>133354781.33768377</v>
      </c>
      <c r="D17" s="243">
        <f>C17/AA17</f>
        <v>1.3398079391426985E-2</v>
      </c>
      <c r="E17" s="243">
        <f>C17/AB17</f>
        <v>3.8788065675422808E-3</v>
      </c>
      <c r="F17" s="240">
        <v>1</v>
      </c>
      <c r="G17" s="240"/>
      <c r="H17" s="240"/>
      <c r="I17" s="240"/>
      <c r="J17" s="430">
        <f t="shared" si="1"/>
        <v>1</v>
      </c>
      <c r="K17" s="299">
        <f>'Intermediate o&amp;g entries'!N4/'Intermediate o&amp;g entries'!N7</f>
        <v>0.56999999999999995</v>
      </c>
      <c r="L17" s="300">
        <f>'Intermediate o&amp;g entries'!N5/'Intermediate o&amp;g entries'!N7</f>
        <v>0.43000000000000005</v>
      </c>
      <c r="M17" s="240"/>
      <c r="N17" s="430">
        <f>SUM(K17:M17)</f>
        <v>1</v>
      </c>
      <c r="O17" s="279">
        <f>C17</f>
        <v>133354781.33768377</v>
      </c>
      <c r="P17" s="243">
        <f>O17/AA17</f>
        <v>1.3398079391426985E-2</v>
      </c>
      <c r="Q17" s="243">
        <f>O17/AB17</f>
        <v>3.8788065675422808E-3</v>
      </c>
      <c r="R17" s="240">
        <v>1</v>
      </c>
      <c r="S17" s="240"/>
      <c r="T17" s="240"/>
      <c r="U17" s="240"/>
      <c r="V17" s="430">
        <f t="shared" si="2"/>
        <v>1</v>
      </c>
      <c r="W17" s="299">
        <f>'Intermediate o&amp;g entries'!N4/'Intermediate o&amp;g entries'!N7</f>
        <v>0.56999999999999995</v>
      </c>
      <c r="X17" s="300">
        <f>'Intermediate o&amp;g entries'!N5/'Intermediate o&amp;g entries'!N7</f>
        <v>0.43000000000000005</v>
      </c>
      <c r="Y17" s="240"/>
      <c r="Z17" s="430">
        <f>SUM(W17:Y17)</f>
        <v>1</v>
      </c>
      <c r="AA17" s="241">
        <f>'Energy data by fuel cycle'!$B$5</f>
        <v>9953275946.6266003</v>
      </c>
      <c r="AB17" s="242">
        <f>SUM('Energy data by fuel cycle'!$G$5:$G$6)</f>
        <v>34380363912.341484</v>
      </c>
      <c r="AD17" s="16" t="s">
        <v>889</v>
      </c>
      <c r="AE17" s="18">
        <f>H13*C13</f>
        <v>602635504.70790887</v>
      </c>
      <c r="AF17" s="18">
        <f>T13*O13</f>
        <v>2117834667.7324572</v>
      </c>
      <c r="AH17" s="438"/>
      <c r="AI17" s="438"/>
      <c r="AJ17" s="438"/>
      <c r="AK17" s="438"/>
    </row>
    <row r="18" spans="1:37" ht="15" customHeight="1" thickTop="1" thickBot="1">
      <c r="A18" s="232"/>
      <c r="B18" s="232" t="s">
        <v>405</v>
      </c>
      <c r="C18" s="243">
        <f>SUM('Conventional Oil'!C17,'Unconventional Oil'!C17)</f>
        <v>2305273380.7681537</v>
      </c>
      <c r="D18" s="243">
        <f>C18/AA18</f>
        <v>0.11990074394466316</v>
      </c>
      <c r="E18" s="243">
        <f>C18/AB18</f>
        <v>6.7052035477164693E-2</v>
      </c>
      <c r="F18" s="240"/>
      <c r="G18" s="240">
        <f>('Intermediate o&amp;g entries'!$Q$8-'Intermediate o&amp;g entries'!$N$8-'Intermediate o&amp;g entries'!$K$8-'Intermediate o&amp;g entries'!$H$8-'Intermediate o&amp;g entries'!$E$8)/('Intermediate o&amp;g entries'!$Q$3-'Intermediate o&amp;g entries'!$N$6-'Intermediate o&amp;g entries'!$K$6-'Intermediate o&amp;g entries'!$H$6-'Intermediate o&amp;g entries'!$E$6)</f>
        <v>0.10852552051693932</v>
      </c>
      <c r="H18" s="240">
        <f>('Intermediate o&amp;g entries'!$Q$9-'Intermediate o&amp;g entries'!$N$9-'Intermediate o&amp;g entries'!$K$9-'Intermediate o&amp;g entries'!$H$9-'Intermediate o&amp;g entries'!$E$9)/('Intermediate o&amp;g entries'!$Q$3-'Intermediate o&amp;g entries'!$N$6-'Intermediate o&amp;g entries'!$K$6-'Intermediate o&amp;g entries'!$H$6-'Intermediate o&amp;g entries'!$E$6)</f>
        <v>0.20504926724589004</v>
      </c>
      <c r="I18" s="240">
        <f>('Intermediate o&amp;g entries'!$Q$10-'Intermediate o&amp;g entries'!$N$10-'Intermediate o&amp;g entries'!$K$10-'Intermediate o&amp;g entries'!$H$10-'Intermediate o&amp;g entries'!$E$10)/('Intermediate o&amp;g entries'!$Q$3-'Intermediate o&amp;g entries'!$N$6-'Intermediate o&amp;g entries'!$K$6-'Intermediate o&amp;g entries'!$H$6-'Intermediate o&amp;g entries'!$E$6)</f>
        <v>0.68642521223717068</v>
      </c>
      <c r="J18" s="430">
        <f t="shared" si="1"/>
        <v>1</v>
      </c>
      <c r="K18" s="299">
        <v>1</v>
      </c>
      <c r="L18" s="300"/>
      <c r="M18" s="240"/>
      <c r="N18" s="430">
        <f>SUM(K18:M18)</f>
        <v>1</v>
      </c>
      <c r="O18" s="279">
        <f>'Intermediate o&amp;g entries'!$Q$3*10^6</f>
        <v>4474017354.1826744</v>
      </c>
      <c r="P18" s="243">
        <f>O18/AA18</f>
        <v>0.23270038758226866</v>
      </c>
      <c r="Q18" s="243">
        <f>O18/AB18</f>
        <v>0.13013292603853566</v>
      </c>
      <c r="R18" s="240"/>
      <c r="S18" s="240">
        <f>'Intermediate o&amp;g entries'!$Q$8/'Intermediate o&amp;g entries'!$Q$3</f>
        <v>0.1082197644455688</v>
      </c>
      <c r="T18" s="240">
        <f>'Intermediate o&amp;g entries'!$Q$9/'Intermediate o&amp;g entries'!$Q$3</f>
        <v>0.2056608753241391</v>
      </c>
      <c r="U18" s="240">
        <f>'Intermediate o&amp;g entries'!$Q$10/'Intermediate o&amp;g entries'!$Q$3</f>
        <v>0.68611936023029207</v>
      </c>
      <c r="V18" s="430">
        <f t="shared" si="2"/>
        <v>1</v>
      </c>
      <c r="W18" s="299">
        <v>1</v>
      </c>
      <c r="X18" s="300"/>
      <c r="Y18" s="240"/>
      <c r="Z18" s="430">
        <f>SUM(W18:Y18)</f>
        <v>1</v>
      </c>
      <c r="AA18" s="241">
        <f>AA15</f>
        <v>19226514406.216599</v>
      </c>
      <c r="AB18" s="242">
        <f>SUM('Energy data by fuel cycle'!$G$5:$G$6)</f>
        <v>34380363912.341484</v>
      </c>
      <c r="AD18" s="16" t="s">
        <v>890</v>
      </c>
      <c r="AE18" s="18">
        <f>I13*C13</f>
        <v>1586161494.0438836</v>
      </c>
      <c r="AF18" s="439">
        <f>U13*O13</f>
        <v>3069709924.7110405</v>
      </c>
      <c r="AH18" s="438"/>
      <c r="AI18" s="438"/>
      <c r="AJ18" s="438"/>
      <c r="AK18" s="438"/>
    </row>
    <row r="19" spans="1:37" ht="15" customHeight="1" thickTop="1">
      <c r="A19" s="232"/>
      <c r="B19" s="232"/>
      <c r="C19" s="232"/>
      <c r="D19" s="232"/>
      <c r="E19" s="232"/>
      <c r="F19" s="240"/>
      <c r="G19" s="240"/>
      <c r="H19" s="240"/>
      <c r="I19" s="240"/>
      <c r="J19" s="425"/>
      <c r="K19" s="299"/>
      <c r="L19" s="300"/>
      <c r="M19" s="240"/>
      <c r="N19" s="425"/>
      <c r="O19" s="278"/>
      <c r="P19" s="232"/>
      <c r="Q19" s="232"/>
      <c r="R19" s="240"/>
      <c r="S19" s="240"/>
      <c r="T19" s="240"/>
      <c r="U19" s="240"/>
      <c r="V19" s="425"/>
      <c r="W19" s="299"/>
      <c r="X19" s="300"/>
      <c r="Y19" s="240"/>
      <c r="Z19" s="425"/>
      <c r="AA19" s="241"/>
      <c r="AB19" s="242"/>
      <c r="AF19" s="18"/>
      <c r="AH19" s="438"/>
      <c r="AI19" s="438"/>
      <c r="AJ19" s="438"/>
      <c r="AK19" s="438"/>
    </row>
    <row r="20" spans="1:37" ht="15" customHeight="1" thickBot="1">
      <c r="A20" s="226" t="s">
        <v>67</v>
      </c>
      <c r="C20" s="232"/>
      <c r="D20" s="232"/>
      <c r="E20" s="232"/>
      <c r="F20" s="240"/>
      <c r="G20" s="240"/>
      <c r="H20" s="240"/>
      <c r="I20" s="240"/>
      <c r="J20" s="425"/>
      <c r="K20" s="299"/>
      <c r="L20" s="300"/>
      <c r="M20" s="240"/>
      <c r="N20" s="425"/>
      <c r="O20" s="278"/>
      <c r="P20" s="232"/>
      <c r="Q20" s="232"/>
      <c r="R20" s="240"/>
      <c r="S20" s="240"/>
      <c r="T20" s="240"/>
      <c r="U20" s="240"/>
      <c r="V20" s="425"/>
      <c r="W20" s="299"/>
      <c r="X20" s="300"/>
      <c r="Y20" s="240"/>
      <c r="Z20" s="425"/>
      <c r="AA20" s="241"/>
      <c r="AB20" s="242"/>
      <c r="AD20" s="16" t="s">
        <v>614</v>
      </c>
      <c r="AE20" s="419"/>
      <c r="AH20" s="438"/>
      <c r="AI20" s="438"/>
      <c r="AJ20" s="438"/>
      <c r="AK20" s="438"/>
    </row>
    <row r="21" spans="1:37" ht="15" customHeight="1" thickTop="1" thickBot="1">
      <c r="A21" s="232"/>
      <c r="B21" s="232" t="s">
        <v>873</v>
      </c>
      <c r="C21" s="256">
        <v>0</v>
      </c>
      <c r="D21" s="284"/>
      <c r="E21" s="284"/>
      <c r="F21" s="240"/>
      <c r="G21" s="240"/>
      <c r="H21" s="240"/>
      <c r="I21" s="232"/>
      <c r="J21" s="431"/>
      <c r="K21" s="301"/>
      <c r="L21" s="244"/>
      <c r="M21" s="232"/>
      <c r="N21" s="431"/>
      <c r="O21" s="279">
        <v>5905239.5999999996</v>
      </c>
      <c r="P21" s="243">
        <f>O21/AA21</f>
        <v>2.7713047686022736E-4</v>
      </c>
      <c r="Q21" s="243">
        <f>O21/AB21</f>
        <v>1.7176198643668812E-4</v>
      </c>
      <c r="R21" s="240">
        <v>1</v>
      </c>
      <c r="S21" s="240"/>
      <c r="T21" s="240"/>
      <c r="U21" s="240"/>
      <c r="V21" s="430">
        <f t="shared" si="2"/>
        <v>1</v>
      </c>
      <c r="W21" s="299">
        <v>0.4</v>
      </c>
      <c r="X21" s="300">
        <v>0.6</v>
      </c>
      <c r="Y21" s="240"/>
      <c r="Z21" s="430">
        <f>SUM(W21:Y21)</f>
        <v>1</v>
      </c>
      <c r="AA21" s="241">
        <f>SUM('Energy data by fuel cycle'!$D$5:$D$6)</f>
        <v>21308517442.411602</v>
      </c>
      <c r="AB21" s="242">
        <f>SUM('Energy data by fuel cycle'!$G$5:$G$6)</f>
        <v>34380363912.341484</v>
      </c>
      <c r="AD21" s="16" t="s">
        <v>82</v>
      </c>
      <c r="AH21" s="439"/>
      <c r="AI21" s="438"/>
      <c r="AJ21" s="438"/>
      <c r="AK21" s="438"/>
    </row>
    <row r="22" spans="1:37" ht="15" customHeight="1" thickTop="1" thickBot="1">
      <c r="A22" s="232"/>
      <c r="B22" s="232" t="s">
        <v>406</v>
      </c>
      <c r="C22" s="243">
        <f>AA22*D22</f>
        <v>539390.1489957606</v>
      </c>
      <c r="D22" s="243">
        <v>1.2E-4</v>
      </c>
      <c r="E22" s="243">
        <f>C22/AB22</f>
        <v>1.5688901675707287E-5</v>
      </c>
      <c r="F22" s="240">
        <v>1</v>
      </c>
      <c r="G22" s="240"/>
      <c r="H22" s="240"/>
      <c r="I22" s="240"/>
      <c r="J22" s="430">
        <f t="shared" si="1"/>
        <v>1</v>
      </c>
      <c r="K22" s="299">
        <v>0.2</v>
      </c>
      <c r="L22" s="300">
        <v>0.8</v>
      </c>
      <c r="M22" s="240"/>
      <c r="N22" s="430">
        <f>SUM(K22:M22)</f>
        <v>1</v>
      </c>
      <c r="O22" s="279">
        <f>AA22*P22</f>
        <v>539390.1489957606</v>
      </c>
      <c r="P22" s="243">
        <f>D22</f>
        <v>1.2E-4</v>
      </c>
      <c r="Q22" s="243">
        <f>O22/AB22</f>
        <v>1.5688901675707287E-5</v>
      </c>
      <c r="R22" s="240">
        <v>1</v>
      </c>
      <c r="S22" s="240"/>
      <c r="T22" s="240"/>
      <c r="U22" s="240"/>
      <c r="V22" s="430">
        <f t="shared" si="2"/>
        <v>1</v>
      </c>
      <c r="W22" s="299">
        <v>0.2</v>
      </c>
      <c r="X22" s="300">
        <v>0.8</v>
      </c>
      <c r="Y22" s="240"/>
      <c r="Z22" s="430">
        <f>SUM(W22:Y22)</f>
        <v>1</v>
      </c>
      <c r="AA22" s="241">
        <f>SUM(A42:A43)*10^6*$A$38</f>
        <v>4494917908.2980051</v>
      </c>
      <c r="AB22" s="242">
        <f>SUM('Energy data by fuel cycle'!$G$5:$G$6)</f>
        <v>34380363912.341484</v>
      </c>
      <c r="AD22" s="16" t="s">
        <v>891</v>
      </c>
      <c r="AH22" s="439"/>
      <c r="AI22" s="438"/>
      <c r="AJ22" s="438"/>
      <c r="AK22" s="438"/>
    </row>
    <row r="23" spans="1:37" ht="15" customHeight="1" thickTop="1" thickBot="1">
      <c r="A23" s="232"/>
      <c r="B23" s="232" t="s">
        <v>407</v>
      </c>
      <c r="C23" s="243">
        <f>$A$49</f>
        <v>121000000</v>
      </c>
      <c r="D23" s="243">
        <v>1.0999999999999999E-2</v>
      </c>
      <c r="E23" s="243">
        <f>C23/AB23</f>
        <v>3.5194508210707087E-3</v>
      </c>
      <c r="F23" s="240"/>
      <c r="G23" s="240"/>
      <c r="H23" s="240">
        <v>1</v>
      </c>
      <c r="I23" s="240"/>
      <c r="J23" s="430">
        <f t="shared" si="1"/>
        <v>1</v>
      </c>
      <c r="K23" s="299"/>
      <c r="L23" s="300">
        <v>1</v>
      </c>
      <c r="M23" s="240"/>
      <c r="N23" s="430">
        <f>SUM(K23:M23)</f>
        <v>1</v>
      </c>
      <c r="O23" s="279">
        <f>C23</f>
        <v>121000000</v>
      </c>
      <c r="P23" s="243">
        <f>D23</f>
        <v>1.0999999999999999E-2</v>
      </c>
      <c r="Q23" s="243">
        <f>O23/AB23</f>
        <v>3.5194508210707087E-3</v>
      </c>
      <c r="R23" s="240"/>
      <c r="S23" s="240"/>
      <c r="T23" s="240">
        <v>1</v>
      </c>
      <c r="U23" s="240"/>
      <c r="V23" s="430">
        <f t="shared" si="2"/>
        <v>1</v>
      </c>
      <c r="W23" s="299"/>
      <c r="X23" s="300">
        <v>1</v>
      </c>
      <c r="Y23" s="240"/>
      <c r="Z23" s="430">
        <f>SUM(W23:Y23)</f>
        <v>1</v>
      </c>
      <c r="AA23" s="241">
        <f>A45*10^6*$A$38</f>
        <v>11316581160.185324</v>
      </c>
      <c r="AB23" s="242">
        <f>SUM('Energy data by fuel cycle'!$G$5:$G$6)</f>
        <v>34380363912.341484</v>
      </c>
      <c r="AD23" s="16" t="s">
        <v>892</v>
      </c>
      <c r="AH23" s="438"/>
      <c r="AI23" s="438"/>
      <c r="AJ23" s="438"/>
      <c r="AK23" s="438"/>
    </row>
    <row r="24" spans="1:37" ht="15" customHeight="1" thickTop="1">
      <c r="A24" s="244"/>
      <c r="B24" s="232"/>
      <c r="C24" s="232"/>
      <c r="D24" s="232"/>
      <c r="E24" s="232"/>
      <c r="F24" s="240"/>
      <c r="G24" s="240"/>
      <c r="H24" s="240"/>
      <c r="I24" s="240"/>
      <c r="J24" s="425"/>
      <c r="K24" s="299"/>
      <c r="L24" s="300"/>
      <c r="M24" s="240"/>
      <c r="N24" s="425"/>
      <c r="O24" s="278"/>
      <c r="P24" s="232"/>
      <c r="Q24" s="232"/>
      <c r="R24" s="240"/>
      <c r="S24" s="240"/>
      <c r="T24" s="240"/>
      <c r="U24" s="240"/>
      <c r="V24" s="425"/>
      <c r="W24" s="299"/>
      <c r="X24" s="300"/>
      <c r="Y24" s="240"/>
      <c r="Z24" s="425"/>
      <c r="AA24" s="241"/>
      <c r="AB24" s="242"/>
      <c r="AD24" s="16" t="s">
        <v>893</v>
      </c>
      <c r="AH24" s="438"/>
      <c r="AI24" s="438"/>
      <c r="AJ24" s="438"/>
      <c r="AK24" s="438"/>
    </row>
    <row r="25" spans="1:37" ht="15" customHeight="1" thickBot="1">
      <c r="A25" s="222" t="s">
        <v>68</v>
      </c>
      <c r="B25" s="232"/>
      <c r="C25" s="232"/>
      <c r="D25" s="246"/>
      <c r="E25" s="232"/>
      <c r="F25" s="240"/>
      <c r="G25" s="240"/>
      <c r="H25" s="240"/>
      <c r="I25" s="240"/>
      <c r="J25" s="425"/>
      <c r="K25" s="299"/>
      <c r="L25" s="300"/>
      <c r="M25" s="240"/>
      <c r="N25" s="425"/>
      <c r="O25" s="278"/>
      <c r="P25" s="232"/>
      <c r="Q25" s="232"/>
      <c r="R25" s="240"/>
      <c r="S25" s="240"/>
      <c r="T25" s="240"/>
      <c r="U25" s="240"/>
      <c r="V25" s="425"/>
      <c r="W25" s="299"/>
      <c r="X25" s="300"/>
      <c r="Y25" s="240"/>
      <c r="Z25" s="425"/>
      <c r="AA25" s="241"/>
      <c r="AB25" s="242"/>
    </row>
    <row r="26" spans="1:37" ht="15" customHeight="1" thickTop="1" thickBot="1">
      <c r="A26" s="232"/>
      <c r="B26" s="232" t="s">
        <v>408</v>
      </c>
      <c r="C26" s="243">
        <f>'Intermediate o&amp;g entries'!$D$24</f>
        <v>440047808.30005944</v>
      </c>
      <c r="D26" s="243">
        <f>C26/AA26</f>
        <v>1.1702915303955794E-2</v>
      </c>
      <c r="E26" s="243">
        <f>C26/AB26</f>
        <v>1.2799393555636446E-2</v>
      </c>
      <c r="F26" s="281">
        <f>SUM('Sankey conversion input'!$K$21,'Sankey conversion input'!$K$25,'Sankey conversion input'!$K$29)/C26</f>
        <v>0.99833333333333341</v>
      </c>
      <c r="G26" s="281">
        <f>SUM('Sankey conversion input'!$K$22,'Sankey conversion input'!$K$26,'Sankey conversion input'!$K$29)/C26</f>
        <v>0</v>
      </c>
      <c r="H26" s="247">
        <f>SUM('Sankey conversion input'!$K$23,'Sankey conversion input'!$K$27,'Sankey conversion input'!$K$31)/C26</f>
        <v>1.6666666666666668E-3</v>
      </c>
      <c r="I26" s="240">
        <v>0</v>
      </c>
      <c r="J26" s="430">
        <f t="shared" si="1"/>
        <v>1</v>
      </c>
      <c r="K26" s="299">
        <f>SUM('Sankey conversion input'!$K$25:$K$28)/C26</f>
        <v>0.27953333333333336</v>
      </c>
      <c r="L26" s="300">
        <f>SUM('Sankey conversion input'!$K$21:$K$24)/C26</f>
        <v>0.72046666666666659</v>
      </c>
      <c r="M26" s="240">
        <v>0</v>
      </c>
      <c r="N26" s="430">
        <f>SUM(K26:M26)</f>
        <v>1</v>
      </c>
      <c r="O26" s="279">
        <f>'Intermediate o&amp;g entries'!$C$24</f>
        <v>660071712.45008922</v>
      </c>
      <c r="P26" s="243">
        <f>O26/AA26</f>
        <v>1.7554372955933695E-2</v>
      </c>
      <c r="Q26" s="243">
        <f>O26/AB26</f>
        <v>1.9199090333454672E-2</v>
      </c>
      <c r="R26" s="240">
        <f>SUM('Sankey conversion input'!$J$21,'Sankey conversion input'!$J$25,'Sankey conversion input'!$J$29)/O26</f>
        <v>0.98888888888888893</v>
      </c>
      <c r="S26" s="240">
        <f>SUM('Sankey conversion input'!$J$22,'Sankey conversion input'!$J$26,'Sankey conversion input'!$J$30)/O26</f>
        <v>0</v>
      </c>
      <c r="T26" s="240">
        <f>SUM('Sankey conversion input'!$J$23,'Sankey conversion input'!$J$27,'Sankey conversion input'!$J$31)/O26</f>
        <v>1.1111111111111112E-2</v>
      </c>
      <c r="U26" s="240">
        <v>0</v>
      </c>
      <c r="V26" s="430">
        <f t="shared" si="2"/>
        <v>1</v>
      </c>
      <c r="W26" s="299">
        <f>SUM('Sankey conversion input'!$J$25:$J$28)/O26</f>
        <v>0.27688888888888891</v>
      </c>
      <c r="X26" s="300">
        <f>SUM('Sankey conversion input'!$J$21:$J$24)/O26</f>
        <v>0.72311111111111115</v>
      </c>
      <c r="Y26" s="240">
        <v>0</v>
      </c>
      <c r="Z26" s="430">
        <f>SUM(W26:Y26)</f>
        <v>1</v>
      </c>
      <c r="AA26" s="241">
        <f>'Energy data by fuel cycle'!$B$132+'Energy data by fuel cycle'!E53</f>
        <v>37601554558.915367</v>
      </c>
      <c r="AB26" s="242">
        <f>SUM('Energy data by fuel cycle'!$G$5:$G$6)</f>
        <v>34380363912.341484</v>
      </c>
    </row>
    <row r="27" spans="1:37" ht="15" customHeight="1" thickTop="1" thickBot="1">
      <c r="A27" s="232"/>
      <c r="B27" s="232" t="s">
        <v>409</v>
      </c>
      <c r="C27" s="243">
        <f>SUM('Sankey conversion input'!$H$21:$H$32,'Sankey conversion input'!$N$21:$N$32)</f>
        <v>35667894.066996925</v>
      </c>
      <c r="D27" s="243">
        <f>C27/AA27</f>
        <v>6.4098779177243631E-2</v>
      </c>
      <c r="E27" s="243">
        <f>C27/AB27</f>
        <v>1.0374495790078958E-3</v>
      </c>
      <c r="F27" s="240">
        <f>SUM('Sankey conversion input'!$H$21,'Sankey conversion input'!$H$25,'Sankey conversion input'!$H$29,'Sankey conversion input'!$N$21,'Sankey conversion input'!$N$25,'Sankey conversion input'!$N$29)/C27</f>
        <v>0.80737539199690411</v>
      </c>
      <c r="G27" s="240">
        <f>SUM('Sankey conversion input'!$H$22,'Sankey conversion input'!$H$26,'Sankey conversion input'!$H$30,'Sankey conversion input'!$N$22,'Sankey conversion input'!$N$26,'Sankey conversion input'!$N$30)/C27</f>
        <v>3.9600416727475878E-2</v>
      </c>
      <c r="H27" s="240">
        <f>SUM('Sankey conversion input'!$H$23,'Sankey conversion input'!$H$27,'Sankey conversion input'!$H$31,'Sankey conversion input'!$N$23,'Sankey conversion input'!$N$27,'Sankey conversion input'!$N$31)/C27</f>
        <v>0.15302419127561995</v>
      </c>
      <c r="I27" s="240">
        <f>SUM('Sankey conversion input'!$H$24,'Sankey conversion input'!$H$28,'Sankey conversion input'!$H$32,'Sankey conversion input'!$N$24,'Sankey conversion input'!$N$28,'Sankey conversion input'!$N$32)/C27</f>
        <v>0</v>
      </c>
      <c r="J27" s="430">
        <f t="shared" si="1"/>
        <v>0.99999999999999989</v>
      </c>
      <c r="K27" s="299">
        <f>SUM('Sankey conversion input'!$H$25:$H$28,'Sankey conversion input'!$N$25:$N$28)/C27</f>
        <v>6.2086450435549369E-2</v>
      </c>
      <c r="L27" s="300">
        <f>SUM('Sankey conversion input'!$H$21:$H$24,'Sankey conversion input'!$N$21:$N$24)/C27</f>
        <v>0.92104214624944081</v>
      </c>
      <c r="M27" s="240">
        <f>SUM('Sankey conversion input'!$H$29:$H$32,'Sankey conversion input'!$N$29:$N$32)/C27</f>
        <v>1.68714033150098E-2</v>
      </c>
      <c r="N27" s="430">
        <f>SUM(K27:M27)</f>
        <v>1</v>
      </c>
      <c r="O27" s="279">
        <f>SUM('Sankey conversion input'!$G$21:$G$32,'Sankey conversion input'!$M$21:$M$32)</f>
        <v>2611598618.2772713</v>
      </c>
      <c r="P27" s="243">
        <f>O27/AA27</f>
        <v>4.6933043710994671</v>
      </c>
      <c r="Q27" s="243">
        <f>O27/AB27</f>
        <v>7.5961924804984052E-2</v>
      </c>
      <c r="R27" s="240">
        <f>SUM('Sankey conversion input'!$G$21,'Sankey conversion input'!$G$25,'Sankey conversion input'!$G$29,'Sankey conversion input'!$M$21,'Sankey conversion input'!$M$25,'Sankey conversion input'!$M$29)/O27</f>
        <v>0.5393370111669924</v>
      </c>
      <c r="S27" s="240">
        <f>SUM('Sankey conversion input'!$G$22,'Sankey conversion input'!$G$26,'Sankey conversion input'!$G$30,'Sankey conversion input'!$M$22,'Sankey conversion input'!$M$26,'Sankey conversion input'!$M$30)/O27</f>
        <v>5.1193400040327561E-2</v>
      </c>
      <c r="T27" s="240">
        <f>SUM('Sankey conversion input'!$G$23,'Sankey conversion input'!$G$27,'Sankey conversion input'!$G$31,'Sankey conversion input'!$M$23,'Sankey conversion input'!$M$27,'Sankey conversion input'!$M$31)/O27</f>
        <v>0.40946958879267986</v>
      </c>
      <c r="U27" s="240">
        <v>0</v>
      </c>
      <c r="V27" s="430">
        <f t="shared" si="2"/>
        <v>0.99999999999999978</v>
      </c>
      <c r="W27" s="299">
        <f>SUM('Sankey conversion input'!$G$25:$G$28,'Sankey conversion input'!$M$25:$M$28)/O27</f>
        <v>5.1327930421086552E-3</v>
      </c>
      <c r="X27" s="300">
        <f>SUM('Sankey conversion input'!$G$21:$G$24,'Sankey conversion input'!$M$21:$M$24)/O27</f>
        <v>0.99321309097664645</v>
      </c>
      <c r="Y27" s="247">
        <f>SUM('Sankey conversion input'!$G$29:$G$32,'Sankey conversion input'!$M$29:$M$32)/O27</f>
        <v>1.6541159812447667E-3</v>
      </c>
      <c r="Z27" s="430">
        <f>SUM(W27:Y27)</f>
        <v>0.99999999999999989</v>
      </c>
      <c r="AA27" s="241">
        <f>'Energy data by fuel cycle'!$E$47</f>
        <v>556452003.06185782</v>
      </c>
      <c r="AB27" s="242">
        <f>SUM('Energy data by fuel cycle'!$G$5:$G$6)</f>
        <v>34380363912.341484</v>
      </c>
    </row>
    <row r="28" spans="1:37" ht="15" customHeight="1" thickTop="1">
      <c r="A28" s="244"/>
      <c r="B28" s="232" t="s">
        <v>410</v>
      </c>
      <c r="C28" s="256">
        <v>0</v>
      </c>
      <c r="D28" s="232"/>
      <c r="E28" s="232"/>
      <c r="F28" s="232"/>
      <c r="G28" s="232"/>
      <c r="H28" s="232"/>
      <c r="I28" s="232"/>
      <c r="J28" s="431"/>
      <c r="K28" s="301"/>
      <c r="L28" s="244"/>
      <c r="M28" s="232"/>
      <c r="N28" s="431"/>
      <c r="O28" s="278"/>
      <c r="P28" s="232"/>
      <c r="Q28" s="232"/>
      <c r="R28" s="232"/>
      <c r="S28" s="232"/>
      <c r="T28" s="232"/>
      <c r="U28" s="232"/>
      <c r="V28" s="431"/>
      <c r="W28" s="301"/>
      <c r="X28" s="244"/>
      <c r="Y28" s="232"/>
      <c r="Z28" s="431"/>
      <c r="AA28" s="241"/>
      <c r="AB28" s="238"/>
    </row>
    <row r="29" spans="1:37" ht="15" customHeight="1">
      <c r="A29" s="245"/>
      <c r="B29" s="232" t="s">
        <v>411</v>
      </c>
      <c r="C29" s="741" t="s">
        <v>412</v>
      </c>
      <c r="D29" s="244"/>
      <c r="E29" s="232"/>
      <c r="F29" s="232"/>
      <c r="G29" s="240"/>
      <c r="H29" s="240"/>
      <c r="I29" s="240"/>
      <c r="J29" s="431"/>
      <c r="K29" s="301"/>
      <c r="L29" s="244"/>
      <c r="M29" s="232"/>
      <c r="N29" s="431"/>
      <c r="O29" s="278"/>
      <c r="P29" s="232"/>
      <c r="Q29" s="232"/>
      <c r="R29" s="232"/>
      <c r="S29" s="232"/>
      <c r="T29" s="232"/>
      <c r="U29" s="232"/>
      <c r="V29" s="431"/>
      <c r="W29" s="301"/>
      <c r="X29" s="244"/>
      <c r="Y29" s="232"/>
      <c r="Z29" s="431"/>
      <c r="AA29" s="241"/>
      <c r="AB29" s="242"/>
    </row>
    <row r="30" spans="1:37" ht="15" customHeight="1">
      <c r="A30" s="245"/>
      <c r="B30" s="244"/>
      <c r="C30" s="740"/>
      <c r="D30" s="244"/>
      <c r="E30" s="232"/>
      <c r="F30" s="232"/>
      <c r="G30" s="240"/>
      <c r="H30" s="240"/>
      <c r="I30" s="240"/>
      <c r="J30" s="431"/>
      <c r="K30" s="301"/>
      <c r="L30" s="244"/>
      <c r="M30" s="232"/>
      <c r="N30" s="431"/>
      <c r="O30" s="278"/>
      <c r="P30" s="232"/>
      <c r="Q30" s="232"/>
      <c r="R30" s="232"/>
      <c r="S30" s="232"/>
      <c r="T30" s="232"/>
      <c r="U30" s="232"/>
      <c r="V30" s="431"/>
      <c r="W30" s="301"/>
      <c r="X30" s="244"/>
      <c r="Y30" s="232"/>
      <c r="Z30" s="431"/>
      <c r="AA30" s="241"/>
      <c r="AB30" s="242"/>
    </row>
    <row r="31" spans="1:37" ht="15" customHeight="1" thickBot="1">
      <c r="A31" s="257" t="s">
        <v>413</v>
      </c>
      <c r="B31" s="232"/>
      <c r="C31" s="232"/>
      <c r="D31" s="232"/>
      <c r="E31" s="232"/>
      <c r="F31" s="232"/>
      <c r="G31" s="232"/>
      <c r="H31" s="232"/>
      <c r="I31" s="232"/>
      <c r="J31" s="431"/>
      <c r="K31" s="301"/>
      <c r="L31" s="244"/>
      <c r="M31" s="232"/>
      <c r="N31" s="431"/>
      <c r="O31" s="278"/>
      <c r="P31" s="232"/>
      <c r="Q31" s="232"/>
      <c r="R31" s="232"/>
      <c r="S31" s="232"/>
      <c r="T31" s="232"/>
      <c r="U31" s="232"/>
      <c r="V31" s="431"/>
      <c r="W31" s="301"/>
      <c r="X31" s="244"/>
      <c r="Y31" s="232"/>
      <c r="Z31" s="431"/>
      <c r="AA31" s="237"/>
      <c r="AB31" s="238"/>
    </row>
    <row r="32" spans="1:37" ht="15" customHeight="1" thickTop="1" thickBot="1">
      <c r="A32" s="244"/>
      <c r="B32" s="232" t="s">
        <v>413</v>
      </c>
      <c r="C32" s="239">
        <f>AA32*D32</f>
        <v>-1106582190.2973397</v>
      </c>
      <c r="D32" s="239">
        <v>-2.9000000000000001E-2</v>
      </c>
      <c r="E32" s="248">
        <f>C32/AB32</f>
        <v>-3.2186459489456157E-2</v>
      </c>
      <c r="F32" s="240">
        <v>1</v>
      </c>
      <c r="G32" s="240"/>
      <c r="H32" s="240"/>
      <c r="I32" s="240"/>
      <c r="J32" s="432">
        <f>SUM(F32:I32)</f>
        <v>1</v>
      </c>
      <c r="K32" s="299"/>
      <c r="L32" s="300">
        <v>1</v>
      </c>
      <c r="M32" s="240"/>
      <c r="N32" s="432">
        <f>SUM(K32:M32)</f>
        <v>1</v>
      </c>
      <c r="O32" s="280">
        <f>AA32*P32</f>
        <v>-1106582190.2973397</v>
      </c>
      <c r="P32" s="239">
        <f>D32</f>
        <v>-2.9000000000000001E-2</v>
      </c>
      <c r="Q32" s="248">
        <f>O32/AB32</f>
        <v>-3.2186459489456157E-2</v>
      </c>
      <c r="R32" s="240">
        <v>1</v>
      </c>
      <c r="S32" s="240"/>
      <c r="T32" s="240"/>
      <c r="U32" s="240"/>
      <c r="V32" s="432">
        <f>SUM(R32:U32)</f>
        <v>1</v>
      </c>
      <c r="W32" s="299"/>
      <c r="X32" s="300">
        <v>1</v>
      </c>
      <c r="Y32" s="240"/>
      <c r="Z32" s="432">
        <f>SUM(W32:Y32)</f>
        <v>1</v>
      </c>
      <c r="AA32" s="249">
        <f>SUM('Energy data by fuel cycle'!$E$5:$E$6)</f>
        <v>38158006561.977226</v>
      </c>
      <c r="AB32" s="250">
        <f>SUM('Energy data by fuel cycle'!$G$5:$G$6)</f>
        <v>34380363912.341484</v>
      </c>
    </row>
    <row r="33" spans="1:28" ht="15" customHeight="1" thickTop="1">
      <c r="A33" s="232"/>
      <c r="B33" s="232"/>
      <c r="C33" s="232"/>
      <c r="D33" s="232"/>
      <c r="E33" s="234"/>
      <c r="F33" s="232"/>
      <c r="G33" s="232"/>
      <c r="H33" s="232"/>
      <c r="I33" s="232"/>
      <c r="J33" s="431"/>
      <c r="K33" s="232"/>
      <c r="L33" s="232"/>
      <c r="M33" s="232"/>
      <c r="N33" s="431"/>
      <c r="O33" s="232"/>
      <c r="P33" s="232"/>
      <c r="Q33" s="232"/>
      <c r="R33" s="232"/>
      <c r="S33" s="232"/>
      <c r="T33" s="232"/>
      <c r="U33" s="232"/>
      <c r="V33" s="431"/>
      <c r="W33" s="232"/>
      <c r="X33" s="232"/>
      <c r="Y33" s="232"/>
      <c r="Z33" s="431"/>
      <c r="AA33" s="232"/>
      <c r="AB33" s="232"/>
    </row>
    <row r="34" spans="1:28" ht="15" customHeight="1">
      <c r="A34" s="251" t="s">
        <v>414</v>
      </c>
      <c r="B34" s="232"/>
      <c r="C34" s="232"/>
      <c r="D34" s="232"/>
      <c r="E34" s="234"/>
      <c r="F34" s="232"/>
      <c r="G34" s="232"/>
      <c r="H34" s="232"/>
      <c r="I34" s="232"/>
      <c r="J34" s="431"/>
      <c r="K34" s="232"/>
      <c r="L34" s="232"/>
      <c r="M34" s="232"/>
      <c r="N34" s="431"/>
      <c r="O34" s="232"/>
      <c r="P34" s="232"/>
      <c r="Q34" s="232"/>
      <c r="R34" s="232"/>
      <c r="S34" s="232"/>
      <c r="T34" s="232"/>
      <c r="U34" s="232"/>
      <c r="V34" s="431"/>
      <c r="W34" s="232"/>
      <c r="X34" s="232"/>
      <c r="Y34" s="232"/>
      <c r="Z34" s="431"/>
      <c r="AA34" s="232"/>
      <c r="AB34" s="232"/>
    </row>
    <row r="35" spans="1:28" ht="15" customHeight="1">
      <c r="A35" s="232" t="s">
        <v>415</v>
      </c>
      <c r="B35" s="232"/>
      <c r="C35" s="232"/>
      <c r="D35" s="232"/>
      <c r="E35" s="234"/>
      <c r="F35" s="232"/>
      <c r="G35" s="232"/>
      <c r="H35" s="232"/>
      <c r="I35" s="232"/>
      <c r="J35" s="431"/>
      <c r="K35" s="232"/>
      <c r="L35" s="232"/>
      <c r="M35" s="232"/>
      <c r="N35" s="431"/>
      <c r="O35" s="232"/>
      <c r="P35" s="232"/>
      <c r="Q35" s="232"/>
      <c r="R35" s="232"/>
      <c r="S35" s="232"/>
      <c r="T35" s="232"/>
      <c r="U35" s="232"/>
      <c r="V35" s="232"/>
      <c r="W35" s="232"/>
      <c r="X35" s="232"/>
      <c r="Y35" s="232"/>
      <c r="Z35" s="232"/>
      <c r="AA35" s="232"/>
      <c r="AB35" s="232"/>
    </row>
    <row r="36" spans="1:28" ht="15" customHeight="1">
      <c r="A36" s="252">
        <v>0.51</v>
      </c>
      <c r="B36" s="232" t="s">
        <v>416</v>
      </c>
      <c r="C36" s="232"/>
      <c r="D36" s="232"/>
      <c r="E36" s="234"/>
      <c r="F36" s="232"/>
      <c r="G36" s="232"/>
      <c r="H36" s="232"/>
      <c r="I36" s="232"/>
      <c r="J36" s="431"/>
      <c r="K36" s="232"/>
      <c r="L36" s="232"/>
      <c r="M36" s="232"/>
      <c r="N36" s="431"/>
      <c r="O36" s="232"/>
      <c r="P36" s="232"/>
      <c r="Q36" s="232"/>
      <c r="R36" s="232"/>
      <c r="S36" s="232"/>
      <c r="T36" s="232"/>
      <c r="U36" s="232"/>
      <c r="V36" s="431"/>
      <c r="W36" s="232"/>
      <c r="X36" s="232"/>
      <c r="Y36" s="232"/>
      <c r="Z36" s="431"/>
      <c r="AA36" s="232"/>
      <c r="AB36" s="232"/>
    </row>
    <row r="37" spans="1:28" ht="15" customHeight="1">
      <c r="A37" s="253">
        <v>6.0490792300000003</v>
      </c>
      <c r="B37" s="232" t="s">
        <v>417</v>
      </c>
      <c r="C37" s="232"/>
      <c r="D37" s="232"/>
      <c r="E37" s="234"/>
      <c r="F37" s="232"/>
      <c r="G37" s="232"/>
      <c r="H37" s="232"/>
      <c r="I37" s="232"/>
      <c r="J37" s="431"/>
      <c r="K37" s="232"/>
      <c r="L37" s="232"/>
      <c r="M37" s="232"/>
      <c r="N37" s="431"/>
      <c r="O37" s="232"/>
      <c r="P37" s="232"/>
      <c r="Q37" s="232"/>
      <c r="R37" s="232"/>
      <c r="S37" s="232"/>
      <c r="T37" s="232"/>
      <c r="U37" s="232"/>
      <c r="V37" s="431"/>
      <c r="W37" s="232"/>
      <c r="X37" s="232"/>
      <c r="Y37" s="232"/>
      <c r="Z37" s="428"/>
      <c r="AA37" s="232"/>
      <c r="AB37" s="232"/>
    </row>
    <row r="38" spans="1:28" ht="15" customHeight="1">
      <c r="A38" s="253">
        <v>6.1913469811267294</v>
      </c>
      <c r="B38" s="232" t="s">
        <v>418</v>
      </c>
      <c r="C38" s="232"/>
      <c r="D38" s="232"/>
      <c r="E38" s="234"/>
      <c r="F38" s="232"/>
      <c r="G38" s="232"/>
      <c r="H38" s="232"/>
      <c r="I38" s="232"/>
      <c r="J38" s="431"/>
      <c r="K38" s="232"/>
      <c r="L38" s="232"/>
      <c r="M38" s="232"/>
      <c r="N38" s="431"/>
      <c r="O38" s="232"/>
      <c r="P38" s="232"/>
      <c r="Q38" s="232"/>
      <c r="R38" s="232"/>
      <c r="S38" s="232"/>
      <c r="T38" s="232"/>
      <c r="U38" s="232"/>
      <c r="V38" s="431"/>
      <c r="W38" s="232"/>
      <c r="X38" s="232"/>
      <c r="Y38" s="232"/>
      <c r="Z38" s="431"/>
      <c r="AA38" s="232"/>
      <c r="AB38" s="232"/>
    </row>
    <row r="39" spans="1:28" ht="15" customHeight="1">
      <c r="A39" s="232" t="s">
        <v>419</v>
      </c>
      <c r="B39" s="232"/>
      <c r="C39" s="232"/>
      <c r="D39" s="232"/>
      <c r="E39" s="234"/>
      <c r="F39" s="232"/>
      <c r="G39" s="232"/>
      <c r="H39" s="232"/>
      <c r="I39" s="232"/>
      <c r="J39" s="431"/>
      <c r="K39" s="232"/>
      <c r="L39" s="232"/>
      <c r="M39" s="232"/>
      <c r="N39" s="431"/>
      <c r="O39" s="232"/>
      <c r="P39" s="232"/>
      <c r="Q39" s="232"/>
      <c r="R39" s="232"/>
      <c r="S39" s="232"/>
      <c r="T39" s="232"/>
      <c r="U39" s="232"/>
      <c r="V39" s="431"/>
      <c r="W39" s="232"/>
      <c r="X39" s="232"/>
      <c r="Y39" s="232"/>
      <c r="Z39" s="431"/>
      <c r="AA39" s="232"/>
      <c r="AB39" s="232"/>
    </row>
    <row r="40" spans="1:28" ht="15" customHeight="1">
      <c r="A40" s="232">
        <v>1828</v>
      </c>
      <c r="B40" s="232" t="s">
        <v>420</v>
      </c>
      <c r="C40" s="232" t="s">
        <v>421</v>
      </c>
      <c r="D40" s="232"/>
      <c r="E40" s="234"/>
      <c r="F40" s="232"/>
      <c r="G40" s="232"/>
      <c r="H40" s="232"/>
      <c r="I40" s="232"/>
      <c r="J40" s="431"/>
      <c r="K40" s="232"/>
      <c r="L40" s="232"/>
      <c r="M40" s="232"/>
      <c r="N40" s="431"/>
      <c r="O40" s="232"/>
      <c r="P40" s="232"/>
      <c r="Q40" s="232"/>
      <c r="R40" s="232"/>
      <c r="S40" s="232"/>
      <c r="T40" s="232"/>
      <c r="U40" s="232"/>
      <c r="V40" s="431"/>
      <c r="W40" s="232"/>
      <c r="X40" s="232"/>
      <c r="Y40" s="232"/>
      <c r="Z40" s="431"/>
      <c r="AA40" s="232"/>
      <c r="AB40" s="232"/>
    </row>
    <row r="41" spans="1:28" ht="15" customHeight="1">
      <c r="A41" s="232">
        <v>11955</v>
      </c>
      <c r="B41" s="232" t="s">
        <v>422</v>
      </c>
      <c r="C41" s="232" t="s">
        <v>423</v>
      </c>
      <c r="D41" s="232"/>
      <c r="E41" s="234"/>
      <c r="F41" s="232"/>
      <c r="G41" s="232"/>
      <c r="H41" s="232"/>
      <c r="I41" s="232"/>
      <c r="J41" s="232"/>
      <c r="K41" s="232"/>
      <c r="L41" s="232"/>
      <c r="M41" s="232"/>
      <c r="N41" s="232"/>
      <c r="O41" s="232"/>
      <c r="P41" s="232"/>
      <c r="Q41" s="232"/>
      <c r="R41" s="232"/>
      <c r="S41" s="232"/>
      <c r="T41" s="232"/>
      <c r="U41" s="232"/>
      <c r="V41" s="232"/>
      <c r="W41" s="232"/>
      <c r="X41" s="232"/>
      <c r="Y41" s="232"/>
      <c r="Z41" s="232"/>
      <c r="AA41" s="232"/>
      <c r="AB41" s="232"/>
    </row>
    <row r="42" spans="1:28" ht="15" customHeight="1">
      <c r="A42" s="232">
        <v>666</v>
      </c>
      <c r="B42" s="232" t="s">
        <v>424</v>
      </c>
      <c r="C42" s="232" t="s">
        <v>425</v>
      </c>
      <c r="D42" s="232" t="s">
        <v>426</v>
      </c>
      <c r="E42" s="234"/>
      <c r="F42" s="232"/>
      <c r="G42" s="232"/>
      <c r="H42" s="232"/>
      <c r="I42" s="232"/>
      <c r="J42" s="232"/>
      <c r="K42" s="232"/>
      <c r="L42" s="232"/>
      <c r="M42" s="232"/>
      <c r="N42" s="232"/>
      <c r="O42" s="232"/>
      <c r="P42" s="232"/>
      <c r="Q42" s="232"/>
      <c r="R42" s="232"/>
      <c r="S42" s="232"/>
      <c r="T42" s="232"/>
      <c r="U42" s="232"/>
      <c r="V42" s="232"/>
      <c r="W42" s="232"/>
      <c r="X42" s="232"/>
      <c r="Y42" s="232"/>
      <c r="Z42" s="232"/>
      <c r="AA42" s="232"/>
      <c r="AB42" s="232"/>
    </row>
    <row r="43" spans="1:28" ht="15" customHeight="1">
      <c r="A43" s="232">
        <v>60</v>
      </c>
      <c r="B43" s="232" t="s">
        <v>427</v>
      </c>
      <c r="C43" s="232" t="s">
        <v>428</v>
      </c>
      <c r="D43" s="232" t="s">
        <v>429</v>
      </c>
      <c r="E43" s="234"/>
      <c r="F43" s="232"/>
      <c r="G43" s="232"/>
      <c r="H43" s="232"/>
      <c r="I43" s="232"/>
      <c r="J43" s="232"/>
      <c r="K43" s="232"/>
      <c r="L43" s="232"/>
      <c r="M43" s="232"/>
      <c r="N43" s="232"/>
      <c r="O43" s="232"/>
      <c r="P43" s="232"/>
      <c r="Q43" s="232"/>
      <c r="R43" s="232"/>
      <c r="S43" s="232"/>
      <c r="T43" s="232"/>
      <c r="U43" s="232"/>
      <c r="V43" s="232"/>
      <c r="W43" s="232"/>
      <c r="X43" s="232"/>
      <c r="Y43" s="232"/>
      <c r="Z43" s="232"/>
      <c r="AA43" s="232"/>
      <c r="AB43" s="232"/>
    </row>
    <row r="44" spans="1:28" ht="15" customHeight="1">
      <c r="A44" s="232">
        <v>3441.6610000000001</v>
      </c>
      <c r="B44" s="232" t="s">
        <v>430</v>
      </c>
      <c r="C44" s="232" t="s">
        <v>431</v>
      </c>
      <c r="D44" s="232"/>
      <c r="E44" s="234"/>
      <c r="F44" s="232"/>
      <c r="G44" s="232"/>
      <c r="H44" s="232"/>
      <c r="I44" s="232"/>
      <c r="J44" s="232"/>
      <c r="K44" s="232"/>
      <c r="L44" s="232"/>
      <c r="M44" s="232"/>
      <c r="N44" s="232"/>
      <c r="O44" s="232"/>
      <c r="P44" s="232"/>
      <c r="Q44" s="232"/>
      <c r="R44" s="232"/>
      <c r="S44" s="232"/>
      <c r="T44" s="232"/>
      <c r="U44" s="232"/>
      <c r="V44" s="232"/>
      <c r="W44" s="232"/>
      <c r="X44" s="232"/>
      <c r="Y44" s="232"/>
      <c r="Z44" s="232"/>
      <c r="AA44" s="232"/>
      <c r="AB44" s="232"/>
    </row>
    <row r="45" spans="1:28" ht="15" customHeight="1">
      <c r="A45" s="232">
        <f>1827.806</f>
        <v>1827.806</v>
      </c>
      <c r="B45" s="232" t="s">
        <v>432</v>
      </c>
      <c r="C45" s="232" t="s">
        <v>431</v>
      </c>
      <c r="D45" s="232"/>
      <c r="E45" s="234"/>
      <c r="F45" s="232"/>
      <c r="G45" s="232"/>
      <c r="H45" s="232"/>
      <c r="I45" s="232"/>
      <c r="J45" s="232"/>
      <c r="K45" s="232"/>
      <c r="L45" s="232"/>
      <c r="M45" s="232"/>
      <c r="N45" s="232"/>
      <c r="O45" s="232"/>
      <c r="P45" s="232"/>
      <c r="Q45" s="232"/>
      <c r="R45" s="232"/>
      <c r="S45" s="232"/>
      <c r="T45" s="232"/>
      <c r="U45" s="232"/>
      <c r="V45" s="232"/>
      <c r="W45" s="232"/>
      <c r="X45" s="232"/>
      <c r="Y45" s="232"/>
      <c r="Z45" s="232"/>
      <c r="AA45" s="232"/>
      <c r="AB45" s="232"/>
    </row>
    <row r="46" spans="1:28" ht="15" customHeight="1">
      <c r="A46" s="232">
        <v>1080.5150000000001</v>
      </c>
      <c r="B46" s="232" t="s">
        <v>433</v>
      </c>
      <c r="C46" s="232" t="s">
        <v>434</v>
      </c>
      <c r="D46" s="232" t="s">
        <v>435</v>
      </c>
      <c r="E46" s="234"/>
      <c r="F46" s="232"/>
      <c r="G46" s="232"/>
      <c r="H46" s="232"/>
      <c r="I46" s="232"/>
      <c r="J46" s="232"/>
      <c r="K46" s="232"/>
      <c r="L46" s="232"/>
      <c r="M46" s="232"/>
      <c r="N46" s="232"/>
      <c r="O46" s="232"/>
      <c r="P46" s="232"/>
      <c r="Q46" s="232"/>
      <c r="R46" s="232"/>
      <c r="S46" s="232"/>
      <c r="T46" s="232"/>
      <c r="U46" s="232"/>
      <c r="V46" s="232"/>
      <c r="W46" s="232"/>
      <c r="X46" s="232"/>
      <c r="Y46" s="232"/>
      <c r="Z46" s="232"/>
      <c r="AA46" s="232"/>
      <c r="AB46" s="232"/>
    </row>
    <row r="47" spans="1:28" ht="15" customHeight="1">
      <c r="A47" s="254">
        <v>3198694000</v>
      </c>
      <c r="B47" s="255" t="s">
        <v>436</v>
      </c>
      <c r="C47" s="232" t="s">
        <v>437</v>
      </c>
      <c r="D47" s="232"/>
      <c r="E47" s="234"/>
      <c r="F47" s="232"/>
      <c r="G47" s="232"/>
      <c r="H47" s="232"/>
      <c r="I47" s="232"/>
      <c r="J47" s="232"/>
      <c r="K47" s="232"/>
      <c r="L47" s="232"/>
      <c r="M47" s="232"/>
      <c r="N47" s="232"/>
      <c r="O47" s="232"/>
      <c r="P47" s="232"/>
      <c r="Q47" s="232"/>
      <c r="R47" s="232"/>
      <c r="S47" s="232"/>
      <c r="T47" s="232"/>
      <c r="U47" s="232"/>
      <c r="V47" s="232"/>
      <c r="W47" s="232"/>
      <c r="X47" s="232"/>
      <c r="Y47" s="232"/>
      <c r="Z47" s="232"/>
      <c r="AA47" s="232"/>
      <c r="AB47" s="232"/>
    </row>
    <row r="48" spans="1:28" ht="15" customHeight="1">
      <c r="A48" s="254">
        <v>1560000000</v>
      </c>
      <c r="B48" s="232" t="s">
        <v>438</v>
      </c>
      <c r="C48" s="232"/>
      <c r="D48" s="232"/>
      <c r="E48" s="234"/>
      <c r="F48" s="232"/>
      <c r="G48" s="232"/>
      <c r="H48" s="232"/>
      <c r="I48" s="232"/>
      <c r="J48" s="232"/>
      <c r="K48" s="232"/>
      <c r="L48" s="232"/>
      <c r="M48" s="232"/>
      <c r="N48" s="232"/>
      <c r="O48" s="232"/>
      <c r="P48" s="232"/>
      <c r="Q48" s="232"/>
      <c r="R48" s="232"/>
      <c r="S48" s="232"/>
      <c r="T48" s="232"/>
      <c r="U48" s="232"/>
      <c r="V48" s="232"/>
      <c r="W48" s="232"/>
      <c r="X48" s="232"/>
      <c r="Y48" s="232"/>
      <c r="Z48" s="232"/>
      <c r="AA48" s="232"/>
      <c r="AB48" s="232"/>
    </row>
    <row r="49" spans="1:28" ht="15" customHeight="1">
      <c r="A49" s="254">
        <v>121000000</v>
      </c>
      <c r="B49" s="232" t="s">
        <v>439</v>
      </c>
      <c r="C49" s="232"/>
      <c r="D49" s="232"/>
      <c r="E49" s="234"/>
      <c r="F49" s="232"/>
      <c r="G49" s="232"/>
      <c r="H49" s="232"/>
      <c r="I49" s="232"/>
      <c r="J49" s="232"/>
      <c r="K49" s="232"/>
      <c r="L49" s="232"/>
      <c r="M49" s="232"/>
      <c r="N49" s="232"/>
      <c r="O49" s="232"/>
      <c r="P49" s="232"/>
      <c r="Q49" s="232"/>
      <c r="R49" s="232"/>
      <c r="S49" s="232"/>
      <c r="T49" s="232"/>
      <c r="U49" s="232"/>
      <c r="V49" s="232"/>
      <c r="W49" s="232"/>
      <c r="X49" s="232"/>
      <c r="Y49" s="232"/>
      <c r="Z49" s="232"/>
      <c r="AA49" s="232"/>
      <c r="AB49" s="232"/>
    </row>
    <row r="50" spans="1:28" ht="15" customHeight="1"/>
    <row r="51" spans="1:28" ht="15" customHeight="1">
      <c r="A51" s="227"/>
    </row>
    <row r="52" spans="1:28" ht="15" customHeight="1">
      <c r="A52" s="227"/>
    </row>
    <row r="53" spans="1:28" ht="15" customHeight="1">
      <c r="A53" s="227"/>
    </row>
    <row r="54" spans="1:28" ht="15" customHeight="1">
      <c r="A54" s="227"/>
    </row>
    <row r="55" spans="1:28" ht="15" customHeight="1">
      <c r="A55" s="227"/>
    </row>
    <row r="56" spans="1:28" ht="15" customHeight="1">
      <c r="A56" s="227"/>
    </row>
    <row r="57" spans="1:28" ht="15" customHeight="1">
      <c r="A57" s="228"/>
    </row>
    <row r="58" spans="1:28" ht="15" customHeight="1">
      <c r="A58" s="228"/>
    </row>
    <row r="59" spans="1:28" ht="15" customHeight="1">
      <c r="A59" s="228"/>
    </row>
    <row r="60" spans="1:28" ht="15" customHeight="1">
      <c r="A60" s="228"/>
    </row>
    <row r="61" spans="1:28" ht="15" customHeight="1">
      <c r="A61" s="227"/>
    </row>
    <row r="62" spans="1:28" ht="15" customHeight="1">
      <c r="A62" s="227"/>
    </row>
    <row r="63" spans="1:28" ht="15" customHeight="1">
      <c r="A63" s="220"/>
    </row>
    <row r="64" spans="1:28" ht="15" customHeight="1">
      <c r="A64" s="220"/>
    </row>
    <row r="65" spans="1:1" ht="15" customHeight="1">
      <c r="A65" s="220"/>
    </row>
    <row r="66" spans="1:1" ht="15" customHeight="1">
      <c r="A66" s="220"/>
    </row>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pageSetUpPr fitToPage="1"/>
  </sheetPr>
  <dimension ref="A1:AF65"/>
  <sheetViews>
    <sheetView workbookViewId="0"/>
  </sheetViews>
  <sheetFormatPr baseColWidth="10" defaultRowHeight="13"/>
  <cols>
    <col min="1" max="1" width="15.83203125" style="16" customWidth="1"/>
    <col min="2" max="2" width="30.83203125" style="16" customWidth="1"/>
    <col min="3" max="3" width="10.83203125" style="16" customWidth="1"/>
    <col min="4" max="9" width="10.83203125" style="16"/>
    <col min="10" max="10" width="10.83203125" style="16" hidden="1" customWidth="1"/>
    <col min="11" max="13" width="10.83203125" style="16"/>
    <col min="14" max="14" width="10.83203125" style="16" hidden="1" customWidth="1"/>
    <col min="15" max="15" width="10.83203125" style="16" customWidth="1"/>
    <col min="16" max="21" width="10.83203125" style="16"/>
    <col min="22" max="22" width="10.83203125" style="16" hidden="1" customWidth="1"/>
    <col min="23" max="25" width="10.83203125" style="16"/>
    <col min="26" max="26" width="10.83203125" style="16" hidden="1" customWidth="1"/>
    <col min="27" max="28" width="10.83203125" style="16" customWidth="1"/>
    <col min="29" max="29" width="10.83203125" style="16"/>
    <col min="30" max="30" width="0" style="16" hidden="1" customWidth="1"/>
    <col min="31" max="31" width="12.6640625" style="16" hidden="1" customWidth="1"/>
    <col min="32" max="32" width="12.83203125" style="16" hidden="1" customWidth="1"/>
    <col min="33" max="16384" width="10.83203125" style="16"/>
  </cols>
  <sheetData>
    <row r="1" spans="1:32" ht="30">
      <c r="A1" s="371" t="s">
        <v>759</v>
      </c>
      <c r="B1" s="372"/>
      <c r="C1" s="495"/>
      <c r="D1" s="495"/>
      <c r="E1" s="373"/>
      <c r="F1" s="372"/>
      <c r="G1" s="372"/>
      <c r="H1" s="372"/>
      <c r="I1" s="372"/>
      <c r="J1" s="409"/>
      <c r="K1" s="372"/>
      <c r="L1" s="372"/>
      <c r="M1" s="372"/>
      <c r="N1" s="409"/>
      <c r="O1" s="372"/>
      <c r="P1" s="372"/>
      <c r="Q1" s="495"/>
      <c r="R1" s="495"/>
      <c r="S1" s="372"/>
      <c r="T1" s="372"/>
      <c r="U1" s="372"/>
      <c r="V1" s="409"/>
      <c r="W1" s="372"/>
      <c r="X1" s="372"/>
      <c r="Y1" s="372"/>
      <c r="Z1" s="409"/>
      <c r="AA1" s="372"/>
      <c r="AB1" s="372"/>
    </row>
    <row r="2" spans="1:32" ht="30">
      <c r="A2" s="371" t="s">
        <v>876</v>
      </c>
      <c r="B2" s="372"/>
      <c r="C2" s="372"/>
      <c r="D2" s="372"/>
      <c r="E2" s="373"/>
      <c r="F2" s="372"/>
      <c r="G2" s="372"/>
      <c r="H2" s="372"/>
      <c r="I2" s="372"/>
      <c r="J2" s="409"/>
      <c r="K2" s="372"/>
      <c r="L2" s="372"/>
      <c r="M2" s="372"/>
      <c r="N2" s="409"/>
      <c r="O2" s="372"/>
      <c r="P2" s="372"/>
      <c r="Q2" s="372"/>
      <c r="R2" s="372"/>
      <c r="S2" s="372"/>
      <c r="T2" s="372"/>
      <c r="U2" s="372"/>
      <c r="V2" s="409"/>
      <c r="W2" s="372"/>
      <c r="X2" s="372"/>
      <c r="Y2" s="372"/>
      <c r="Z2" s="409"/>
      <c r="AA2" s="372"/>
      <c r="AB2" s="372"/>
    </row>
    <row r="3" spans="1:32" ht="30">
      <c r="A3" s="371"/>
      <c r="B3" s="372"/>
      <c r="C3" s="372"/>
      <c r="D3" s="372"/>
      <c r="E3" s="373"/>
      <c r="F3" s="372"/>
      <c r="G3" s="372"/>
      <c r="H3" s="372"/>
      <c r="I3" s="372"/>
      <c r="J3" s="409"/>
      <c r="K3" s="372"/>
      <c r="L3" s="372"/>
      <c r="M3" s="372"/>
      <c r="N3" s="409"/>
      <c r="O3" s="372"/>
      <c r="P3" s="372"/>
      <c r="Q3" s="372"/>
      <c r="R3" s="372"/>
      <c r="S3" s="372"/>
      <c r="T3" s="372"/>
      <c r="U3" s="372"/>
      <c r="V3" s="409"/>
      <c r="W3" s="372"/>
      <c r="X3" s="372"/>
      <c r="Y3" s="372"/>
      <c r="Z3" s="409"/>
      <c r="AA3" s="372"/>
      <c r="AB3" s="372"/>
    </row>
    <row r="4" spans="1:32" ht="30">
      <c r="A4" s="371"/>
      <c r="B4" s="372"/>
      <c r="C4" s="372"/>
      <c r="D4" s="372"/>
      <c r="E4" s="373"/>
      <c r="F4" s="372"/>
      <c r="G4" s="372"/>
      <c r="H4" s="372"/>
      <c r="I4" s="372"/>
      <c r="J4" s="409"/>
      <c r="K4" s="372"/>
      <c r="L4" s="372"/>
      <c r="M4" s="372"/>
      <c r="N4" s="409"/>
      <c r="O4" s="372"/>
      <c r="P4" s="372"/>
      <c r="Q4" s="372"/>
      <c r="R4" s="372"/>
      <c r="S4" s="372"/>
      <c r="T4" s="372"/>
      <c r="U4" s="372"/>
      <c r="V4" s="409"/>
      <c r="W4" s="372"/>
      <c r="X4" s="372"/>
      <c r="Y4" s="372"/>
      <c r="Z4" s="409"/>
      <c r="AA4" s="372"/>
      <c r="AB4" s="372"/>
    </row>
    <row r="5" spans="1:32" ht="30">
      <c r="A5" s="371"/>
      <c r="B5" s="372"/>
      <c r="C5" s="372"/>
      <c r="D5" s="372"/>
      <c r="E5" s="373"/>
      <c r="F5" s="372"/>
      <c r="G5" s="372"/>
      <c r="H5" s="372"/>
      <c r="I5" s="372"/>
      <c r="J5" s="409"/>
      <c r="K5" s="372"/>
      <c r="L5" s="372"/>
      <c r="M5" s="372"/>
      <c r="N5" s="409"/>
      <c r="O5" s="372"/>
      <c r="P5" s="372"/>
      <c r="Q5" s="372"/>
      <c r="R5" s="372"/>
      <c r="S5" s="372"/>
      <c r="T5" s="372"/>
      <c r="U5" s="372"/>
      <c r="V5" s="409"/>
      <c r="W5" s="372"/>
      <c r="X5" s="372"/>
      <c r="Y5" s="372"/>
      <c r="Z5" s="409"/>
      <c r="AA5" s="372"/>
      <c r="AB5" s="372"/>
    </row>
    <row r="6" spans="1:32" ht="30">
      <c r="A6" s="371"/>
      <c r="B6" s="372"/>
      <c r="C6" s="372"/>
      <c r="D6" s="372"/>
      <c r="E6" s="373"/>
      <c r="F6" s="372"/>
      <c r="G6" s="372"/>
      <c r="H6" s="372"/>
      <c r="I6" s="372"/>
      <c r="J6" s="409"/>
      <c r="K6" s="372"/>
      <c r="L6" s="372"/>
      <c r="M6" s="372"/>
      <c r="N6" s="409"/>
      <c r="O6" s="372"/>
      <c r="P6" s="372"/>
      <c r="Q6" s="372"/>
      <c r="R6" s="372"/>
      <c r="S6" s="372"/>
      <c r="T6" s="372"/>
      <c r="U6" s="372"/>
      <c r="V6" s="409"/>
      <c r="W6" s="372"/>
      <c r="X6" s="372"/>
      <c r="Y6" s="372"/>
      <c r="Z6" s="409"/>
      <c r="AA6" s="372"/>
      <c r="AB6" s="372"/>
    </row>
    <row r="7" spans="1:32" ht="30">
      <c r="A7" s="371"/>
      <c r="B7" s="372"/>
      <c r="C7" s="372"/>
      <c r="D7" s="372"/>
      <c r="E7" s="373"/>
      <c r="F7" s="372"/>
      <c r="G7" s="372"/>
      <c r="H7" s="372"/>
      <c r="I7" s="372"/>
      <c r="J7" s="409"/>
      <c r="K7" s="372"/>
      <c r="L7" s="372"/>
      <c r="M7" s="372"/>
      <c r="N7" s="409"/>
      <c r="O7" s="372"/>
      <c r="P7" s="372"/>
      <c r="Q7" s="372"/>
      <c r="R7" s="372"/>
      <c r="S7" s="372"/>
      <c r="T7" s="372"/>
      <c r="U7" s="372"/>
      <c r="V7" s="409"/>
      <c r="W7" s="372"/>
      <c r="X7" s="372"/>
      <c r="Y7" s="372"/>
      <c r="Z7" s="409"/>
      <c r="AA7" s="372"/>
      <c r="AB7" s="372"/>
    </row>
    <row r="8" spans="1:32" ht="30">
      <c r="A8" s="371"/>
      <c r="B8" s="372"/>
      <c r="C8" s="372"/>
      <c r="D8" s="372"/>
      <c r="E8" s="373"/>
      <c r="F8" s="372"/>
      <c r="G8" s="372"/>
      <c r="H8" s="372"/>
      <c r="I8" s="372"/>
      <c r="J8" s="409"/>
      <c r="K8" s="372"/>
      <c r="L8" s="372"/>
      <c r="M8" s="372"/>
      <c r="N8" s="409"/>
      <c r="O8" s="372"/>
      <c r="P8" s="372"/>
      <c r="Q8" s="372"/>
      <c r="R8" s="372"/>
      <c r="S8" s="372"/>
      <c r="T8" s="372"/>
      <c r="U8" s="372"/>
      <c r="V8" s="409"/>
      <c r="W8" s="372"/>
      <c r="X8" s="372"/>
      <c r="Y8" s="372"/>
      <c r="Z8" s="409"/>
      <c r="AA8" s="372"/>
      <c r="AB8" s="372"/>
    </row>
    <row r="9" spans="1:32" ht="31" thickBot="1">
      <c r="A9" s="371"/>
      <c r="B9" s="372"/>
      <c r="C9" s="372"/>
      <c r="D9" s="372"/>
      <c r="E9" s="373"/>
      <c r="F9" s="372"/>
      <c r="G9" s="372"/>
      <c r="H9" s="372"/>
      <c r="I9" s="372"/>
      <c r="J9" s="409"/>
      <c r="K9" s="372"/>
      <c r="L9" s="372"/>
      <c r="M9" s="372"/>
      <c r="N9" s="409"/>
      <c r="O9" s="372"/>
      <c r="P9" s="372"/>
      <c r="Q9" s="372"/>
      <c r="R9" s="372"/>
      <c r="S9" s="372"/>
      <c r="T9" s="372"/>
      <c r="U9" s="372"/>
      <c r="V9" s="409"/>
      <c r="W9" s="372"/>
      <c r="X9" s="372"/>
      <c r="Y9" s="372"/>
      <c r="Z9" s="409"/>
      <c r="AA9" s="372"/>
      <c r="AB9" s="372"/>
    </row>
    <row r="10" spans="1:32" ht="15" customHeight="1">
      <c r="A10" s="232"/>
      <c r="B10" s="232"/>
      <c r="C10" s="817" t="s">
        <v>209</v>
      </c>
      <c r="D10" s="817"/>
      <c r="E10" s="817"/>
      <c r="F10" s="817"/>
      <c r="G10" s="817"/>
      <c r="H10" s="817"/>
      <c r="I10" s="817"/>
      <c r="J10" s="817"/>
      <c r="K10" s="817"/>
      <c r="L10" s="817"/>
      <c r="M10" s="817"/>
      <c r="N10" s="480"/>
      <c r="O10" s="815" t="s">
        <v>208</v>
      </c>
      <c r="P10" s="816"/>
      <c r="Q10" s="816"/>
      <c r="R10" s="816"/>
      <c r="S10" s="816"/>
      <c r="T10" s="816"/>
      <c r="U10" s="816"/>
      <c r="V10" s="816"/>
      <c r="W10" s="816"/>
      <c r="X10" s="816"/>
      <c r="Y10" s="816"/>
      <c r="Z10" s="481"/>
      <c r="AA10" s="813" t="s">
        <v>868</v>
      </c>
      <c r="AB10" s="814"/>
      <c r="AE10" s="16" t="s">
        <v>235</v>
      </c>
      <c r="AF10" s="16" t="s">
        <v>234</v>
      </c>
    </row>
    <row r="11" spans="1:32" ht="40" customHeight="1">
      <c r="A11" s="233" t="s">
        <v>387</v>
      </c>
      <c r="B11" s="233" t="s">
        <v>388</v>
      </c>
      <c r="C11" s="258" t="s">
        <v>389</v>
      </c>
      <c r="D11" s="259" t="s">
        <v>866</v>
      </c>
      <c r="E11" s="259" t="s">
        <v>867</v>
      </c>
      <c r="F11" s="260" t="s">
        <v>392</v>
      </c>
      <c r="G11" s="261" t="s">
        <v>393</v>
      </c>
      <c r="H11" s="262" t="s">
        <v>394</v>
      </c>
      <c r="I11" s="263" t="s">
        <v>395</v>
      </c>
      <c r="J11" s="264" t="s">
        <v>396</v>
      </c>
      <c r="K11" s="500" t="s">
        <v>398</v>
      </c>
      <c r="L11" s="265" t="s">
        <v>397</v>
      </c>
      <c r="M11" s="266" t="s">
        <v>399</v>
      </c>
      <c r="N11" s="264" t="s">
        <v>400</v>
      </c>
      <c r="O11" s="275" t="s">
        <v>390</v>
      </c>
      <c r="P11" s="259" t="s">
        <v>866</v>
      </c>
      <c r="Q11" s="259" t="s">
        <v>867</v>
      </c>
      <c r="R11" s="260" t="s">
        <v>392</v>
      </c>
      <c r="S11" s="261" t="s">
        <v>393</v>
      </c>
      <c r="T11" s="262" t="s">
        <v>394</v>
      </c>
      <c r="U11" s="263" t="s">
        <v>395</v>
      </c>
      <c r="V11" s="264" t="s">
        <v>396</v>
      </c>
      <c r="W11" s="500" t="s">
        <v>398</v>
      </c>
      <c r="X11" s="265" t="s">
        <v>397</v>
      </c>
      <c r="Y11" s="266" t="s">
        <v>399</v>
      </c>
      <c r="Z11" s="264" t="s">
        <v>400</v>
      </c>
      <c r="AA11" s="258" t="s">
        <v>391</v>
      </c>
      <c r="AB11" s="267" t="s">
        <v>869</v>
      </c>
      <c r="AD11" s="16" t="s">
        <v>252</v>
      </c>
      <c r="AE11" s="18">
        <f>L13*C13</f>
        <v>438819735.50912768</v>
      </c>
      <c r="AF11" s="18">
        <f>X13*O13</f>
        <v>2445013755.216764</v>
      </c>
    </row>
    <row r="12" spans="1:32" ht="15" customHeight="1" thickBot="1">
      <c r="A12" s="268"/>
      <c r="B12" s="268" t="s">
        <v>48</v>
      </c>
      <c r="C12" s="269">
        <f>SUM(C15:C31)</f>
        <v>2038657292.3348451</v>
      </c>
      <c r="D12" s="269"/>
      <c r="E12" s="269">
        <f>SUM(E15:E31)</f>
        <v>0.22782869992083851</v>
      </c>
      <c r="F12" s="270"/>
      <c r="G12" s="270"/>
      <c r="H12" s="270"/>
      <c r="I12" s="270"/>
      <c r="J12" s="270"/>
      <c r="K12" s="501"/>
      <c r="L12" s="270"/>
      <c r="M12" s="270"/>
      <c r="N12" s="270"/>
      <c r="O12" s="276">
        <f>SUM(O15:O31)</f>
        <v>6263795800.6755829</v>
      </c>
      <c r="P12" s="268"/>
      <c r="Q12" s="269">
        <f>SUM(Q15:Q31)</f>
        <v>0.24745357892067821</v>
      </c>
      <c r="R12" s="270"/>
      <c r="S12" s="270"/>
      <c r="T12" s="270"/>
      <c r="U12" s="270"/>
      <c r="V12" s="270"/>
      <c r="W12" s="501"/>
      <c r="X12" s="270"/>
      <c r="Y12" s="270"/>
      <c r="Z12" s="270"/>
      <c r="AA12" s="235"/>
      <c r="AB12" s="236"/>
      <c r="AD12" s="16" t="s">
        <v>887</v>
      </c>
      <c r="AE12" s="18">
        <f>K13*C13</f>
        <v>2413472609.561801</v>
      </c>
      <c r="AF12" s="18">
        <f>W13*O13</f>
        <v>4630337755.2746782</v>
      </c>
    </row>
    <row r="13" spans="1:32" ht="15" customHeight="1" thickTop="1" thickBot="1">
      <c r="A13" s="271"/>
      <c r="B13" s="271" t="s">
        <v>870</v>
      </c>
      <c r="C13" s="272">
        <f>SUM(C15:C28)</f>
        <v>2853393578.0981503</v>
      </c>
      <c r="D13" s="272"/>
      <c r="E13" s="272">
        <f>SUM(E15:E28)</f>
        <v>0.25682869992083851</v>
      </c>
      <c r="F13" s="282">
        <f>SUMPRODUCT(F15:F29,$C$15:$C$29)/SUM($C$15:$C$29)</f>
        <v>0.1697379508743054</v>
      </c>
      <c r="G13" s="282">
        <f>SUMPRODUCT(G15:G29,$C$15:$C$29)/SUM($C$15:$C$29)</f>
        <v>8.8042862742229042E-2</v>
      </c>
      <c r="H13" s="282">
        <f>SUMPRODUCT(H15:H29,$C$15:$C$29)/SUM($C$15:$C$29)</f>
        <v>0.20989440276343466</v>
      </c>
      <c r="I13" s="282">
        <f>SUMPRODUCT(I15:I29,$C$15:$C$29)/SUM($C$15:$C$29)</f>
        <v>0.53232478362003099</v>
      </c>
      <c r="J13" s="430">
        <f>SUM(F13:I13)</f>
        <v>1</v>
      </c>
      <c r="K13" s="393">
        <f>SUMPRODUCT(K15:K29,$C$15:$C$29)/SUM($C$15:$C$29)</f>
        <v>0.84582534568204704</v>
      </c>
      <c r="L13" s="282">
        <f>SUMPRODUCT(L15:L29,$C$15:$C$29)/SUM($C$15:$C$29)</f>
        <v>0.15378871631217825</v>
      </c>
      <c r="M13" s="282">
        <f>SUMPRODUCT(M15:M29,$C$15:$C$29)/SUM($C$15:$C$29)</f>
        <v>3.859380057747263E-4</v>
      </c>
      <c r="N13" s="430">
        <f>SUM(K13:M13)</f>
        <v>1</v>
      </c>
      <c r="O13" s="277">
        <f>SUM(O15:O28)</f>
        <v>7078532086.4388885</v>
      </c>
      <c r="P13" s="271"/>
      <c r="Q13" s="272">
        <f>SUM(Q15:Q28)</f>
        <v>0.27964003841013435</v>
      </c>
      <c r="R13" s="282">
        <f>SUMPRODUCT(R15:R29,$O$15:$O$29)/SUM($O$15:$O$29)</f>
        <v>0.2347465638784958</v>
      </c>
      <c r="S13" s="282">
        <f>SUMPRODUCT(S15:S29,$O$15:$O$29)/SUM($O$15:$O$29)</f>
        <v>8.2307045931768727E-2</v>
      </c>
      <c r="T13" s="282">
        <f>SUMPRODUCT(T15:T29,$O$15:$O$29)/SUM($O$15:$O$29)</f>
        <v>0.25877927290517616</v>
      </c>
      <c r="U13" s="282">
        <f>SUMPRODUCT(U15:U29,$O$15:$O$29)/SUM($O$15:$O$29)</f>
        <v>0.42416711728455941</v>
      </c>
      <c r="V13" s="430">
        <f>SUM(R13:U13)</f>
        <v>1</v>
      </c>
      <c r="W13" s="393">
        <f>SUMPRODUCT(W15:W29,$O$15:$O$29)/SUM($O$15:$O$29)</f>
        <v>0.65413813185159086</v>
      </c>
      <c r="X13" s="282">
        <f>SUMPRODUCT(X15:X29,$O$15:$O$29)/SUM($O$15:$O$29)</f>
        <v>0.34541254109746028</v>
      </c>
      <c r="Y13" s="282">
        <f>SUMPRODUCT(Y15:Y29,$O$15:$O$29)/SUM($O$15:$O$29)</f>
        <v>4.4932705094880915E-4</v>
      </c>
      <c r="Z13" s="430">
        <f>SUM(W13:Y13)</f>
        <v>0.99999999999999989</v>
      </c>
      <c r="AA13" s="702"/>
      <c r="AB13" s="703"/>
      <c r="AD13" s="16" t="s">
        <v>888</v>
      </c>
      <c r="AE13" s="18">
        <f>M13*C13</f>
        <v>1101233.0272216108</v>
      </c>
      <c r="AF13" s="18">
        <f>Y13*O13</f>
        <v>3180575.9474461069</v>
      </c>
    </row>
    <row r="14" spans="1:32" ht="15" customHeight="1" thickTop="1" thickBot="1">
      <c r="A14" s="224" t="s">
        <v>591</v>
      </c>
      <c r="B14" s="232"/>
      <c r="C14" s="232"/>
      <c r="D14" s="232"/>
      <c r="E14" s="232"/>
      <c r="F14" s="232"/>
      <c r="G14" s="232"/>
      <c r="H14" s="232"/>
      <c r="I14" s="232"/>
      <c r="J14" s="232"/>
      <c r="K14" s="301"/>
      <c r="L14" s="244"/>
      <c r="M14" s="232"/>
      <c r="N14" s="232"/>
      <c r="O14" s="676"/>
      <c r="P14" s="232"/>
      <c r="Q14" s="232"/>
      <c r="R14" s="232"/>
      <c r="S14" s="232"/>
      <c r="T14" s="232"/>
      <c r="U14" s="232"/>
      <c r="V14" s="232"/>
      <c r="W14" s="301"/>
      <c r="X14" s="244"/>
      <c r="Y14" s="232"/>
      <c r="Z14" s="232"/>
      <c r="AA14" s="715"/>
      <c r="AB14" s="705"/>
      <c r="AE14" s="18"/>
      <c r="AF14" s="18"/>
    </row>
    <row r="15" spans="1:32" ht="15" customHeight="1" thickTop="1" thickBot="1">
      <c r="A15" s="223"/>
      <c r="B15" s="232" t="s">
        <v>402</v>
      </c>
      <c r="C15" s="243">
        <f>('Intermediate o&amp;g entries'!H3)*10^6</f>
        <v>6581735.2200321136</v>
      </c>
      <c r="D15" s="243">
        <f>C15/AA15</f>
        <v>6.6126321176324045E-4</v>
      </c>
      <c r="E15" s="243">
        <f>C15/AA15</f>
        <v>6.6126321176324045E-4</v>
      </c>
      <c r="F15" s="240">
        <f>'Intermediate o&amp;g entries'!H7/'Intermediate o&amp;g entries'!$H$3</f>
        <v>0.89999999999999969</v>
      </c>
      <c r="G15" s="240">
        <f>'Intermediate o&amp;g entries'!H8/'Intermediate o&amp;g entries'!$H$3</f>
        <v>0</v>
      </c>
      <c r="H15" s="240">
        <f>'Intermediate o&amp;g entries'!H9/'Intermediate o&amp;g entries'!$H$3</f>
        <v>0.10000000000000002</v>
      </c>
      <c r="I15" s="240">
        <f>'Intermediate o&amp;g entries'!H10/'Intermediate o&amp;g entries'!$H$3</f>
        <v>0</v>
      </c>
      <c r="J15" s="430">
        <f t="shared" ref="J15:J31" si="0">SUM(F15:I15)</f>
        <v>0.99999999999999967</v>
      </c>
      <c r="K15" s="299">
        <f>'Intermediate o&amp;g entries'!H4/'Intermediate o&amp;g entries'!$H$3</f>
        <v>0.51299999999999979</v>
      </c>
      <c r="L15" s="300">
        <f>'Intermediate o&amp;g entries'!H5/'Intermediate o&amp;g entries'!$H$3</f>
        <v>0.38699999999999996</v>
      </c>
      <c r="M15" s="240">
        <f>'Intermediate o&amp;g entries'!H6/'Intermediate o&amp;g entries'!$H$3</f>
        <v>0.10000000000000002</v>
      </c>
      <c r="N15" s="430">
        <f>SUM(K15:M15)</f>
        <v>0.99999999999999967</v>
      </c>
      <c r="O15" s="677">
        <f>('Intermediate o&amp;g entries'!H3-'Intermediate o&amp;g entries'!H6)*10^6</f>
        <v>5923561.6980289016</v>
      </c>
      <c r="P15" s="243">
        <f>O15/AA15</f>
        <v>5.951368905869164E-4</v>
      </c>
      <c r="Q15" s="243">
        <f>O15/AB15</f>
        <v>2.3401250436302635E-4</v>
      </c>
      <c r="R15" s="240">
        <f>'Intermediate o&amp;g entries'!H7/('Intermediate o&amp;g entries'!$H$3-'Intermediate o&amp;g entries'!$H$6)</f>
        <v>0.99999999999999967</v>
      </c>
      <c r="S15" s="240"/>
      <c r="T15" s="240"/>
      <c r="U15" s="240"/>
      <c r="V15" s="430">
        <f t="shared" ref="V15:V31" si="1">SUM(R15:U15)</f>
        <v>0.99999999999999967</v>
      </c>
      <c r="W15" s="299">
        <f>'Intermediate o&amp;g entries'!H4/('Intermediate o&amp;g entries'!$H$3-'Intermediate o&amp;g entries'!$H$6)</f>
        <v>0.56999999999999984</v>
      </c>
      <c r="X15" s="300">
        <f>'Intermediate o&amp;g entries'!H5/('Intermediate o&amp;g entries'!$H$3-'Intermediate o&amp;g entries'!$H$6)</f>
        <v>0.43</v>
      </c>
      <c r="Y15" s="240"/>
      <c r="Z15" s="430">
        <f>SUM(W15:Y15)</f>
        <v>0.99999999999999978</v>
      </c>
      <c r="AA15" s="706">
        <f>'Energy data by fuel cycle'!$B$5</f>
        <v>9953275946.6266003</v>
      </c>
      <c r="AB15" s="707">
        <f>'Energy data by fuel cycle'!$G$5</f>
        <v>25313013568.025452</v>
      </c>
      <c r="AD15" s="16" t="s">
        <v>267</v>
      </c>
      <c r="AE15" s="18">
        <f>F13*C13</f>
        <v>484329178.98428237</v>
      </c>
      <c r="AF15" s="18">
        <f>R13*O13</f>
        <v>1661661084.5952086</v>
      </c>
    </row>
    <row r="16" spans="1:32" ht="15" customHeight="1" thickTop="1" thickBot="1">
      <c r="A16" s="232"/>
      <c r="B16" s="232" t="s">
        <v>404</v>
      </c>
      <c r="C16" s="243">
        <f>Oil!C17</f>
        <v>133354781.33768377</v>
      </c>
      <c r="D16" s="243">
        <f>C16/AA16</f>
        <v>1.3398079391426985E-2</v>
      </c>
      <c r="E16" s="243">
        <f>C16/AA16</f>
        <v>1.3398079391426985E-2</v>
      </c>
      <c r="F16" s="240">
        <f>Oil!F17</f>
        <v>1</v>
      </c>
      <c r="G16" s="240">
        <f>Oil!G17</f>
        <v>0</v>
      </c>
      <c r="H16" s="240">
        <f>Oil!H17</f>
        <v>0</v>
      </c>
      <c r="I16" s="240">
        <f>Oil!I17</f>
        <v>0</v>
      </c>
      <c r="J16" s="430">
        <f t="shared" si="0"/>
        <v>1</v>
      </c>
      <c r="K16" s="299">
        <f>Oil!K17</f>
        <v>0.56999999999999995</v>
      </c>
      <c r="L16" s="300">
        <f>Oil!L17</f>
        <v>0.43000000000000005</v>
      </c>
      <c r="M16" s="240">
        <f>Oil!M17</f>
        <v>0</v>
      </c>
      <c r="N16" s="430">
        <f>SUM(K16:M16)</f>
        <v>1</v>
      </c>
      <c r="O16" s="677">
        <f>Oil!O17</f>
        <v>133354781.33768377</v>
      </c>
      <c r="P16" s="243">
        <f>O16/AA16</f>
        <v>1.3398079391426985E-2</v>
      </c>
      <c r="Q16" s="243">
        <f>O16/AB16</f>
        <v>5.2682301528148767E-3</v>
      </c>
      <c r="R16" s="240">
        <f>Oil!R17</f>
        <v>1</v>
      </c>
      <c r="S16" s="240">
        <f>Oil!S17</f>
        <v>0</v>
      </c>
      <c r="T16" s="240">
        <f>Oil!T17</f>
        <v>0</v>
      </c>
      <c r="U16" s="240">
        <f>Oil!U17</f>
        <v>0</v>
      </c>
      <c r="V16" s="430">
        <f t="shared" si="1"/>
        <v>1</v>
      </c>
      <c r="W16" s="299">
        <f>Oil!W17</f>
        <v>0.56999999999999995</v>
      </c>
      <c r="X16" s="300">
        <f>Oil!X17</f>
        <v>0.43000000000000005</v>
      </c>
      <c r="Y16" s="240">
        <f>Oil!Y17</f>
        <v>0</v>
      </c>
      <c r="Z16" s="430">
        <f>SUM(W16:Y16)</f>
        <v>1</v>
      </c>
      <c r="AA16" s="706">
        <f>'Energy data by fuel cycle'!$B$5</f>
        <v>9953275946.6266003</v>
      </c>
      <c r="AB16" s="707">
        <f>'Energy data by fuel cycle'!$G$5</f>
        <v>25313013568.025452</v>
      </c>
      <c r="AD16" s="16" t="s">
        <v>654</v>
      </c>
      <c r="AE16" s="18">
        <f>G13*C13</f>
        <v>251220939.14605325</v>
      </c>
      <c r="AF16" s="18">
        <f>S13*O13</f>
        <v>582613065.56802428</v>
      </c>
    </row>
    <row r="17" spans="1:32" ht="15" customHeight="1" thickTop="1" thickBot="1">
      <c r="A17" s="232"/>
      <c r="B17" s="232" t="s">
        <v>405</v>
      </c>
      <c r="C17" s="243">
        <f>'Intermediate o&amp;g entries'!$W$3*10^6-'Intermediate o&amp;g entries'!N6*10^6-'Intermediate o&amp;g entries'!H6*10^6</f>
        <v>2241807730.1535573</v>
      </c>
      <c r="D17" s="243">
        <f>C17/AA17</f>
        <v>0.22523315360440285</v>
      </c>
      <c r="E17" s="243">
        <f>C17/AA17</f>
        <v>0.22523315360440285</v>
      </c>
      <c r="F17" s="240"/>
      <c r="G17" s="240">
        <f>('Intermediate o&amp;g entries'!$W$8-'Intermediate o&amp;g entries'!$N$8-'Intermediate o&amp;g entries'!$H$8)/('Intermediate o&amp;g entries'!$W$3-'Intermediate o&amp;g entries'!$N$6-'Intermediate o&amp;g entries'!$H$6)</f>
        <v>0.11159788157415788</v>
      </c>
      <c r="H17" s="240">
        <f>('Intermediate o&amp;g entries'!$W$9-'Intermediate o&amp;g entries'!$N$9-'Intermediate o&amp;g entries'!$H$9)/('Intermediate o&amp;g entries'!$W$3-'Intermediate o&amp;g entries'!$N$6-'Intermediate o&amp;g entries'!$H$6)</f>
        <v>0.21085421874943194</v>
      </c>
      <c r="I17" s="240">
        <f>('Intermediate o&amp;g entries'!$W$10-'Intermediate o&amp;g entries'!$N$10-'Intermediate o&amp;g entries'!$H$10)/('Intermediate o&amp;g entries'!$W$3-'Intermediate o&amp;g entries'!$N$6-'Intermediate o&amp;g entries'!$H$6)</f>
        <v>0.67754789967641038</v>
      </c>
      <c r="J17" s="430">
        <f t="shared" si="0"/>
        <v>1.0000000000000002</v>
      </c>
      <c r="K17" s="299">
        <v>1</v>
      </c>
      <c r="L17" s="300"/>
      <c r="M17" s="240"/>
      <c r="N17" s="430">
        <f>SUM(K17:M17)</f>
        <v>1</v>
      </c>
      <c r="O17" s="677">
        <f>'Intermediate o&amp;g entries'!$W$3*10^6</f>
        <v>4404696729.1826744</v>
      </c>
      <c r="P17" s="243">
        <f>O17/AA17</f>
        <v>0.44253738696710504</v>
      </c>
      <c r="Q17" s="243">
        <f>O17/AB17</f>
        <v>0.17400917979779931</v>
      </c>
      <c r="R17" s="240"/>
      <c r="S17" s="240">
        <f>'Intermediate o&amp;g entries'!$W$8/'Intermediate o&amp;g entries'!$W$3</f>
        <v>0.10992291500733554</v>
      </c>
      <c r="T17" s="240">
        <f>'Intermediate o&amp;g entries'!$W$9/'Intermediate o&amp;g entries'!$W$3</f>
        <v>0.20842276590673406</v>
      </c>
      <c r="U17" s="240">
        <f>'Intermediate o&amp;g entries'!$W$10/'Intermediate o&amp;g entries'!$W$3</f>
        <v>0.68165431908593044</v>
      </c>
      <c r="V17" s="430">
        <f t="shared" si="1"/>
        <v>1</v>
      </c>
      <c r="W17" s="299">
        <v>1</v>
      </c>
      <c r="X17" s="300"/>
      <c r="Y17" s="240"/>
      <c r="Z17" s="430">
        <f>SUM(W17:Y17)</f>
        <v>1</v>
      </c>
      <c r="AA17" s="706">
        <f>'Energy data by fuel cycle'!$B$5</f>
        <v>9953275946.6266003</v>
      </c>
      <c r="AB17" s="707">
        <f>'Energy data by fuel cycle'!$G$5</f>
        <v>25313013568.025452</v>
      </c>
      <c r="AD17" s="16" t="s">
        <v>889</v>
      </c>
      <c r="AE17" s="18">
        <f>H13*C13</f>
        <v>598911340.92393112</v>
      </c>
      <c r="AF17" s="18">
        <f>T13*O13</f>
        <v>1831777386.5646152</v>
      </c>
    </row>
    <row r="18" spans="1:32" ht="15" customHeight="1" thickTop="1">
      <c r="A18" s="245"/>
      <c r="B18" s="232"/>
      <c r="C18" s="254"/>
      <c r="D18" s="232"/>
      <c r="E18" s="232"/>
      <c r="F18" s="240"/>
      <c r="G18" s="240"/>
      <c r="H18" s="240"/>
      <c r="I18" s="240"/>
      <c r="J18" s="425"/>
      <c r="K18" s="299"/>
      <c r="L18" s="300"/>
      <c r="M18" s="240"/>
      <c r="N18" s="425"/>
      <c r="O18" s="678"/>
      <c r="P18" s="232"/>
      <c r="Q18" s="232"/>
      <c r="R18" s="240"/>
      <c r="S18" s="240"/>
      <c r="T18" s="240"/>
      <c r="U18" s="240"/>
      <c r="V18" s="425"/>
      <c r="W18" s="299"/>
      <c r="X18" s="300"/>
      <c r="Y18" s="240"/>
      <c r="Z18" s="425"/>
      <c r="AA18" s="706"/>
      <c r="AB18" s="707"/>
      <c r="AD18" s="16" t="s">
        <v>890</v>
      </c>
      <c r="AE18" s="18">
        <f>I13*C13</f>
        <v>1518932119.0438838</v>
      </c>
      <c r="AF18" s="18">
        <f>U13*O13</f>
        <v>3002480549.711041</v>
      </c>
    </row>
    <row r="19" spans="1:32" ht="15" customHeight="1" thickBot="1">
      <c r="A19" s="226" t="s">
        <v>67</v>
      </c>
      <c r="B19" s="232"/>
      <c r="C19" s="284"/>
      <c r="D19" s="232"/>
      <c r="E19" s="232"/>
      <c r="F19" s="240"/>
      <c r="G19" s="240"/>
      <c r="H19" s="240"/>
      <c r="I19" s="240"/>
      <c r="J19" s="425"/>
      <c r="K19" s="299"/>
      <c r="L19" s="300"/>
      <c r="M19" s="240"/>
      <c r="N19" s="425"/>
      <c r="O19" s="679"/>
      <c r="P19" s="232"/>
      <c r="Q19" s="232"/>
      <c r="R19" s="240"/>
      <c r="S19" s="240"/>
      <c r="T19" s="240"/>
      <c r="U19" s="240"/>
      <c r="V19" s="425"/>
      <c r="W19" s="299"/>
      <c r="X19" s="300"/>
      <c r="Y19" s="240"/>
      <c r="Z19" s="425"/>
      <c r="AA19" s="706"/>
      <c r="AB19" s="707"/>
    </row>
    <row r="20" spans="1:32" ht="15" customHeight="1" thickTop="1" thickBot="1">
      <c r="A20" s="232"/>
      <c r="B20" s="232" t="s">
        <v>873</v>
      </c>
      <c r="C20" s="256">
        <v>0</v>
      </c>
      <c r="D20" s="284"/>
      <c r="E20" s="284"/>
      <c r="F20" s="232"/>
      <c r="G20" s="232"/>
      <c r="H20" s="232"/>
      <c r="I20" s="232"/>
      <c r="J20" s="431"/>
      <c r="K20" s="301"/>
      <c r="L20" s="244"/>
      <c r="M20" s="232"/>
      <c r="N20" s="431"/>
      <c r="O20" s="677">
        <f>$AA20/Oil!$AA21*Oil!O21</f>
        <v>4347813.4931428898</v>
      </c>
      <c r="P20" s="243">
        <v>6.0000000000000002E-5</v>
      </c>
      <c r="Q20" s="243">
        <f>O20/AB20</f>
        <v>1.7176198643668812E-4</v>
      </c>
      <c r="R20" s="240">
        <f>Oil!R21</f>
        <v>1</v>
      </c>
      <c r="S20" s="240">
        <f>Oil!S21</f>
        <v>0</v>
      </c>
      <c r="T20" s="240">
        <f>Oil!T21</f>
        <v>0</v>
      </c>
      <c r="U20" s="240">
        <f>Oil!U21</f>
        <v>0</v>
      </c>
      <c r="V20" s="430">
        <f t="shared" si="1"/>
        <v>1</v>
      </c>
      <c r="W20" s="299">
        <f>Oil!W21</f>
        <v>0.4</v>
      </c>
      <c r="X20" s="300">
        <f>Oil!X21</f>
        <v>0.6</v>
      </c>
      <c r="Y20" s="240">
        <f>Oil!Y21</f>
        <v>0</v>
      </c>
      <c r="Z20" s="430">
        <f>SUM(W20:Y20)</f>
        <v>1</v>
      </c>
      <c r="AA20" s="706">
        <f>'Energy data by fuel cycle'!$D$5</f>
        <v>15688687662.222511</v>
      </c>
      <c r="AB20" s="707">
        <f>'Energy data by fuel cycle'!$G$5</f>
        <v>25313013568.025452</v>
      </c>
      <c r="AD20" s="16" t="s">
        <v>614</v>
      </c>
      <c r="AE20" s="18">
        <f>SUM(C15:C17)</f>
        <v>2381744246.7112732</v>
      </c>
      <c r="AF20" s="18">
        <f>SUM(O15:O17)</f>
        <v>4543975072.2183867</v>
      </c>
    </row>
    <row r="21" spans="1:32" ht="15" customHeight="1" thickTop="1" thickBot="1">
      <c r="A21" s="232"/>
      <c r="B21" s="232" t="s">
        <v>406</v>
      </c>
      <c r="C21" s="243">
        <f>$AA21/Oil!$AA22*Oil!C22</f>
        <v>397133.38098459574</v>
      </c>
      <c r="D21" s="243">
        <v>1.2E-4</v>
      </c>
      <c r="E21" s="243">
        <f>C21/AB21</f>
        <v>1.5688901675707284E-5</v>
      </c>
      <c r="F21" s="240">
        <f>Oil!F22</f>
        <v>1</v>
      </c>
      <c r="G21" s="240">
        <f>Oil!G22</f>
        <v>0</v>
      </c>
      <c r="H21" s="240">
        <f>Oil!H22</f>
        <v>0</v>
      </c>
      <c r="I21" s="240">
        <f>Oil!I22</f>
        <v>0</v>
      </c>
      <c r="J21" s="430">
        <f t="shared" si="0"/>
        <v>1</v>
      </c>
      <c r="K21" s="299">
        <f>Oil!K22</f>
        <v>0.2</v>
      </c>
      <c r="L21" s="300">
        <f>Oil!L22</f>
        <v>0.8</v>
      </c>
      <c r="M21" s="240">
        <f>Oil!M22</f>
        <v>0</v>
      </c>
      <c r="N21" s="430">
        <f>SUM(K21:M21)</f>
        <v>1</v>
      </c>
      <c r="O21" s="677">
        <f>$AA21/Oil!$AA22*Oil!O22</f>
        <v>397133.38098459574</v>
      </c>
      <c r="P21" s="243">
        <f>D21</f>
        <v>1.2E-4</v>
      </c>
      <c r="Q21" s="243">
        <f>O21/AB21</f>
        <v>1.5688901675707284E-5</v>
      </c>
      <c r="R21" s="240">
        <f>Oil!R22</f>
        <v>1</v>
      </c>
      <c r="S21" s="240">
        <f>Oil!S22</f>
        <v>0</v>
      </c>
      <c r="T21" s="240">
        <f>Oil!T22</f>
        <v>0</v>
      </c>
      <c r="U21" s="240">
        <f>Oil!U22</f>
        <v>0</v>
      </c>
      <c r="V21" s="430">
        <f t="shared" si="1"/>
        <v>1</v>
      </c>
      <c r="W21" s="299">
        <f>Oil!W22</f>
        <v>0.2</v>
      </c>
      <c r="X21" s="300">
        <f>Oil!X22</f>
        <v>0.8</v>
      </c>
      <c r="Y21" s="240">
        <f>Oil!Y22</f>
        <v>0</v>
      </c>
      <c r="Z21" s="430">
        <f>SUM(W21:Y21)</f>
        <v>1</v>
      </c>
      <c r="AA21" s="706">
        <f>'Energy data by fuel cycle'!$G$5/SUM('Energy data by fuel cycle'!$G$5:$G$6)*Oil!AA22</f>
        <v>3309444841.5382981</v>
      </c>
      <c r="AB21" s="707">
        <f>'Energy data by fuel cycle'!$G$5</f>
        <v>25313013568.025452</v>
      </c>
      <c r="AD21" s="16" t="s">
        <v>82</v>
      </c>
      <c r="AE21" s="18">
        <v>0</v>
      </c>
      <c r="AF21" s="18">
        <v>0</v>
      </c>
    </row>
    <row r="22" spans="1:32" ht="15" customHeight="1" thickTop="1" thickBot="1">
      <c r="A22" s="232"/>
      <c r="B22" s="232" t="s">
        <v>407</v>
      </c>
      <c r="C22" s="243">
        <f>$AA22/Oil!$AA23*Oil!C23</f>
        <v>121000000</v>
      </c>
      <c r="D22" s="243">
        <v>1.0999999999999999E-2</v>
      </c>
      <c r="E22" s="243">
        <f>C22/AB22</f>
        <v>4.7801499286060168E-3</v>
      </c>
      <c r="F22" s="240">
        <f>Oil!F23</f>
        <v>0</v>
      </c>
      <c r="G22" s="240">
        <f>Oil!G23</f>
        <v>0</v>
      </c>
      <c r="H22" s="240">
        <f>Oil!H23</f>
        <v>1</v>
      </c>
      <c r="I22" s="240">
        <f>Oil!I23</f>
        <v>0</v>
      </c>
      <c r="J22" s="430">
        <f t="shared" si="0"/>
        <v>1</v>
      </c>
      <c r="K22" s="299">
        <f>Oil!K23</f>
        <v>0</v>
      </c>
      <c r="L22" s="300">
        <f>Oil!L23</f>
        <v>1</v>
      </c>
      <c r="M22" s="240">
        <f>Oil!M23</f>
        <v>0</v>
      </c>
      <c r="N22" s="430">
        <f>SUM(K22:M22)</f>
        <v>1</v>
      </c>
      <c r="O22" s="677">
        <f>$AA22/Oil!$AA23*Oil!O23</f>
        <v>121000000</v>
      </c>
      <c r="P22" s="243">
        <f>D22</f>
        <v>1.0999999999999999E-2</v>
      </c>
      <c r="Q22" s="243">
        <f>O22/AB22</f>
        <v>4.7801499286060168E-3</v>
      </c>
      <c r="R22" s="240">
        <f>Oil!R23</f>
        <v>0</v>
      </c>
      <c r="S22" s="240">
        <f>Oil!S23</f>
        <v>0</v>
      </c>
      <c r="T22" s="240">
        <f>Oil!T23</f>
        <v>1</v>
      </c>
      <c r="U22" s="240">
        <f>Oil!U23</f>
        <v>0</v>
      </c>
      <c r="V22" s="430">
        <f t="shared" si="1"/>
        <v>1</v>
      </c>
      <c r="W22" s="299">
        <f>Oil!W23</f>
        <v>0</v>
      </c>
      <c r="X22" s="300">
        <f>Oil!X23</f>
        <v>1</v>
      </c>
      <c r="Y22" s="240">
        <f>Oil!Y23</f>
        <v>0</v>
      </c>
      <c r="Z22" s="430">
        <f>SUM(W22:Y22)</f>
        <v>1</v>
      </c>
      <c r="AA22" s="706">
        <f>Oil!AA23</f>
        <v>11316581160.185324</v>
      </c>
      <c r="AB22" s="707">
        <f>'Energy data by fuel cycle'!$G$5</f>
        <v>25313013568.025452</v>
      </c>
      <c r="AD22" s="16" t="s">
        <v>891</v>
      </c>
      <c r="AE22" s="18">
        <f>SUM(C20:C22)</f>
        <v>121397133.38098459</v>
      </c>
      <c r="AF22" s="18">
        <f>SUM(O20:O22)</f>
        <v>125744946.87412749</v>
      </c>
    </row>
    <row r="23" spans="1:32" ht="15" customHeight="1" thickTop="1">
      <c r="A23" s="232"/>
      <c r="B23" s="232"/>
      <c r="C23" s="284"/>
      <c r="D23" s="232"/>
      <c r="E23" s="232"/>
      <c r="F23" s="240"/>
      <c r="G23" s="240"/>
      <c r="H23" s="240"/>
      <c r="I23" s="240"/>
      <c r="J23" s="425"/>
      <c r="K23" s="299"/>
      <c r="L23" s="300"/>
      <c r="M23" s="240"/>
      <c r="N23" s="425"/>
      <c r="O23" s="679"/>
      <c r="P23" s="232"/>
      <c r="Q23" s="232"/>
      <c r="R23" s="240"/>
      <c r="S23" s="240"/>
      <c r="T23" s="240"/>
      <c r="U23" s="240"/>
      <c r="V23" s="425"/>
      <c r="W23" s="299"/>
      <c r="X23" s="300"/>
      <c r="Y23" s="240"/>
      <c r="Z23" s="425"/>
      <c r="AA23" s="706"/>
      <c r="AB23" s="707"/>
      <c r="AD23" s="16" t="s">
        <v>892</v>
      </c>
      <c r="AE23" s="18">
        <f>SUM(C25:C28)</f>
        <v>350252198.0058921</v>
      </c>
      <c r="AF23" s="18">
        <f>SUM(O25:O26)</f>
        <v>2408812067.346375</v>
      </c>
    </row>
    <row r="24" spans="1:32" ht="15" customHeight="1" thickBot="1">
      <c r="A24" s="222" t="s">
        <v>68</v>
      </c>
      <c r="B24" s="232"/>
      <c r="C24" s="284"/>
      <c r="D24" s="232"/>
      <c r="E24" s="232"/>
      <c r="F24" s="240"/>
      <c r="G24" s="240"/>
      <c r="H24" s="240"/>
      <c r="I24" s="240"/>
      <c r="J24" s="425"/>
      <c r="K24" s="299"/>
      <c r="L24" s="300"/>
      <c r="M24" s="240"/>
      <c r="N24" s="425"/>
      <c r="O24" s="679"/>
      <c r="P24" s="232"/>
      <c r="Q24" s="232"/>
      <c r="R24" s="240"/>
      <c r="S24" s="240"/>
      <c r="T24" s="240"/>
      <c r="U24" s="240"/>
      <c r="V24" s="425"/>
      <c r="W24" s="299"/>
      <c r="X24" s="300"/>
      <c r="Y24" s="240"/>
      <c r="Z24" s="425"/>
      <c r="AA24" s="706"/>
      <c r="AB24" s="707"/>
      <c r="AD24" s="16" t="s">
        <v>893</v>
      </c>
    </row>
    <row r="25" spans="1:32" ht="15" customHeight="1" thickTop="1" thickBot="1">
      <c r="A25" s="232"/>
      <c r="B25" s="232" t="s">
        <v>408</v>
      </c>
      <c r="C25" s="243">
        <f>$AA25/Oil!$AA26*Oil!C26</f>
        <v>323991222.73632294</v>
      </c>
      <c r="D25" s="243">
        <f>C25/AA25</f>
        <v>1.1702915303955796E-2</v>
      </c>
      <c r="E25" s="243">
        <f>C25/AA25</f>
        <v>1.1702915303955796E-2</v>
      </c>
      <c r="F25" s="240">
        <f>Oil!F26</f>
        <v>0.99833333333333341</v>
      </c>
      <c r="G25" s="240">
        <f>Oil!G26</f>
        <v>0</v>
      </c>
      <c r="H25" s="240">
        <f>Oil!H26</f>
        <v>1.6666666666666668E-3</v>
      </c>
      <c r="I25" s="240">
        <f>Oil!I26</f>
        <v>0</v>
      </c>
      <c r="J25" s="430">
        <f t="shared" si="0"/>
        <v>1</v>
      </c>
      <c r="K25" s="299">
        <f>Oil!K26</f>
        <v>0.27953333333333336</v>
      </c>
      <c r="L25" s="300">
        <f>Oil!L26</f>
        <v>0.72046666666666659</v>
      </c>
      <c r="M25" s="240">
        <f>Oil!M26</f>
        <v>0</v>
      </c>
      <c r="N25" s="430">
        <f>SUM(K25:M25)</f>
        <v>1</v>
      </c>
      <c r="O25" s="677">
        <f>$AA25/Oil!$AA26*Oil!O26</f>
        <v>485986834.10448444</v>
      </c>
      <c r="P25" s="243">
        <f>O25/AA25</f>
        <v>1.7554372955933695E-2</v>
      </c>
      <c r="Q25" s="243">
        <f>O25/AB25</f>
        <v>1.9199090333454672E-2</v>
      </c>
      <c r="R25" s="240">
        <f>Oil!R26</f>
        <v>0.98888888888888893</v>
      </c>
      <c r="S25" s="240">
        <f>Oil!S26</f>
        <v>0</v>
      </c>
      <c r="T25" s="240">
        <f>Oil!T26</f>
        <v>1.1111111111111112E-2</v>
      </c>
      <c r="U25" s="240">
        <f>Oil!U26</f>
        <v>0</v>
      </c>
      <c r="V25" s="430">
        <f t="shared" si="1"/>
        <v>1</v>
      </c>
      <c r="W25" s="299">
        <f>Oil!W26</f>
        <v>0.27688888888888891</v>
      </c>
      <c r="X25" s="300">
        <f>Oil!X26</f>
        <v>0.72311111111111115</v>
      </c>
      <c r="Y25" s="240">
        <f>Oil!Y26</f>
        <v>0</v>
      </c>
      <c r="Z25" s="430">
        <f>SUM(W25:Y25)</f>
        <v>1</v>
      </c>
      <c r="AA25" s="706">
        <f>'Energy data by fuel cycle'!$E$5-AA26</f>
        <v>27684659276.890442</v>
      </c>
      <c r="AB25" s="707">
        <f>'Energy data by fuel cycle'!$G$5</f>
        <v>25313013568.025452</v>
      </c>
    </row>
    <row r="26" spans="1:32" ht="15" customHeight="1" thickTop="1" thickBot="1">
      <c r="A26" s="232"/>
      <c r="B26" s="232" t="s">
        <v>409</v>
      </c>
      <c r="C26" s="243">
        <f>$AA26/Oil!$AA27*Oil!C27</f>
        <v>26260975.269569159</v>
      </c>
      <c r="D26" s="243">
        <f>C26/AA26</f>
        <v>6.4098779177243645E-2</v>
      </c>
      <c r="E26" s="243">
        <f>C26/AB26</f>
        <v>1.0374495790078958E-3</v>
      </c>
      <c r="F26" s="240">
        <f>Oil!F27</f>
        <v>0.80737539199690411</v>
      </c>
      <c r="G26" s="240">
        <f>Oil!G27</f>
        <v>3.9600416727475878E-2</v>
      </c>
      <c r="H26" s="240">
        <f>Oil!H27</f>
        <v>0.15302419127561995</v>
      </c>
      <c r="I26" s="240">
        <f>Oil!I27</f>
        <v>0</v>
      </c>
      <c r="J26" s="430">
        <f t="shared" si="0"/>
        <v>0.99999999999999989</v>
      </c>
      <c r="K26" s="299">
        <f>Oil!K27</f>
        <v>6.2086450435549369E-2</v>
      </c>
      <c r="L26" s="300">
        <f>Oil!L27</f>
        <v>0.92104214624944081</v>
      </c>
      <c r="M26" s="240">
        <f>Oil!M27</f>
        <v>1.68714033150098E-2</v>
      </c>
      <c r="N26" s="430">
        <f>SUM(K26:M26)</f>
        <v>1</v>
      </c>
      <c r="O26" s="677">
        <f>$AA26/Oil!$AA27*Oil!O27</f>
        <v>1922825233.2418904</v>
      </c>
      <c r="P26" s="243">
        <f>O26/AA26</f>
        <v>4.6933043710994671</v>
      </c>
      <c r="Q26" s="243">
        <f>O26/AB26</f>
        <v>7.5961924804984052E-2</v>
      </c>
      <c r="R26" s="240">
        <f>Oil!R27</f>
        <v>0.5393370111669924</v>
      </c>
      <c r="S26" s="240">
        <f>Oil!S27</f>
        <v>5.1193400040327561E-2</v>
      </c>
      <c r="T26" s="240">
        <f>Oil!T27</f>
        <v>0.40946958879267986</v>
      </c>
      <c r="U26" s="240">
        <f>Oil!U27</f>
        <v>0</v>
      </c>
      <c r="V26" s="430">
        <f t="shared" si="1"/>
        <v>0.99999999999999978</v>
      </c>
      <c r="W26" s="299">
        <f>Oil!W27</f>
        <v>5.1327930421086552E-3</v>
      </c>
      <c r="X26" s="300">
        <f>Oil!X27</f>
        <v>0.99321309097664645</v>
      </c>
      <c r="Y26" s="240">
        <f>Oil!Y27</f>
        <v>1.6541159812447667E-3</v>
      </c>
      <c r="Z26" s="430">
        <f>SUM(W26:Y26)</f>
        <v>0.99999999999999989</v>
      </c>
      <c r="AA26" s="706">
        <f>'Energy data by fuel cycle'!$E$48</f>
        <v>409695404.60284358</v>
      </c>
      <c r="AB26" s="707">
        <f>'Energy data by fuel cycle'!$G$5</f>
        <v>25313013568.025452</v>
      </c>
    </row>
    <row r="27" spans="1:32" ht="15" customHeight="1" thickTop="1">
      <c r="A27" s="232"/>
      <c r="B27" s="232" t="s">
        <v>410</v>
      </c>
      <c r="C27" s="374">
        <v>0</v>
      </c>
      <c r="D27" s="232"/>
      <c r="E27" s="232"/>
      <c r="F27" s="232"/>
      <c r="G27" s="232"/>
      <c r="H27" s="232"/>
      <c r="I27" s="232"/>
      <c r="J27" s="431"/>
      <c r="K27" s="301"/>
      <c r="L27" s="244"/>
      <c r="M27" s="232"/>
      <c r="N27" s="431"/>
      <c r="O27" s="679"/>
      <c r="P27" s="232"/>
      <c r="Q27" s="232"/>
      <c r="R27" s="232"/>
      <c r="S27" s="232"/>
      <c r="T27" s="232"/>
      <c r="U27" s="232"/>
      <c r="V27" s="431"/>
      <c r="W27" s="301"/>
      <c r="X27" s="244"/>
      <c r="Y27" s="232"/>
      <c r="Z27" s="431"/>
      <c r="AA27" s="706"/>
      <c r="AB27" s="707"/>
    </row>
    <row r="28" spans="1:32" ht="15" customHeight="1">
      <c r="A28" s="232"/>
      <c r="B28" s="232" t="s">
        <v>411</v>
      </c>
      <c r="C28" s="243" t="s">
        <v>412</v>
      </c>
      <c r="D28" s="232"/>
      <c r="E28" s="232"/>
      <c r="F28" s="232"/>
      <c r="G28" s="232"/>
      <c r="H28" s="232"/>
      <c r="I28" s="232"/>
      <c r="J28" s="431"/>
      <c r="K28" s="301"/>
      <c r="L28" s="244"/>
      <c r="M28" s="232"/>
      <c r="N28" s="431"/>
      <c r="O28" s="679"/>
      <c r="P28" s="232"/>
      <c r="Q28" s="232"/>
      <c r="R28" s="232"/>
      <c r="S28" s="232"/>
      <c r="T28" s="232"/>
      <c r="U28" s="232"/>
      <c r="V28" s="431"/>
      <c r="W28" s="301"/>
      <c r="X28" s="244"/>
      <c r="Y28" s="232"/>
      <c r="Z28" s="431"/>
      <c r="AA28" s="706"/>
      <c r="AB28" s="707"/>
    </row>
    <row r="29" spans="1:32" ht="15" customHeight="1">
      <c r="A29" s="232"/>
      <c r="B29" s="232"/>
      <c r="C29" s="232"/>
      <c r="D29" s="232"/>
      <c r="E29" s="232"/>
      <c r="F29" s="232"/>
      <c r="G29" s="232"/>
      <c r="H29" s="232"/>
      <c r="I29" s="232"/>
      <c r="J29" s="431"/>
      <c r="K29" s="301"/>
      <c r="L29" s="244"/>
      <c r="M29" s="232"/>
      <c r="N29" s="431"/>
      <c r="O29" s="680"/>
      <c r="P29" s="232"/>
      <c r="Q29" s="232"/>
      <c r="R29" s="232"/>
      <c r="S29" s="232"/>
      <c r="T29" s="232"/>
      <c r="U29" s="232"/>
      <c r="V29" s="431"/>
      <c r="W29" s="301"/>
      <c r="X29" s="244"/>
      <c r="Y29" s="232"/>
      <c r="Z29" s="431"/>
      <c r="AA29" s="301"/>
      <c r="AB29" s="708"/>
    </row>
    <row r="30" spans="1:32" ht="15" customHeight="1" thickBot="1">
      <c r="A30" s="257" t="s">
        <v>413</v>
      </c>
      <c r="B30" s="232"/>
      <c r="C30" s="232"/>
      <c r="D30" s="232"/>
      <c r="E30" s="232"/>
      <c r="F30" s="232"/>
      <c r="G30" s="232"/>
      <c r="H30" s="232"/>
      <c r="I30" s="232"/>
      <c r="J30" s="431"/>
      <c r="K30" s="301"/>
      <c r="L30" s="244"/>
      <c r="M30" s="232"/>
      <c r="N30" s="431"/>
      <c r="O30" s="680"/>
      <c r="P30" s="232"/>
      <c r="Q30" s="232"/>
      <c r="R30" s="232"/>
      <c r="S30" s="232"/>
      <c r="T30" s="232"/>
      <c r="U30" s="232"/>
      <c r="V30" s="431"/>
      <c r="W30" s="301"/>
      <c r="X30" s="244"/>
      <c r="Y30" s="232"/>
      <c r="Z30" s="431"/>
      <c r="AA30" s="301"/>
      <c r="AB30" s="708"/>
    </row>
    <row r="31" spans="1:32" ht="15" customHeight="1" thickTop="1" thickBot="1">
      <c r="A31" s="232"/>
      <c r="B31" s="232" t="s">
        <v>413</v>
      </c>
      <c r="C31" s="243">
        <f>$AA31/Oil!$AA32*Oil!C32</f>
        <v>-814736285.76330531</v>
      </c>
      <c r="D31" s="243">
        <f>C31/AA31</f>
        <v>-2.9000000000000001E-2</v>
      </c>
      <c r="E31" s="243">
        <f>C31/AA31</f>
        <v>-2.9000000000000001E-2</v>
      </c>
      <c r="F31" s="240">
        <f>Oil!F32</f>
        <v>1</v>
      </c>
      <c r="G31" s="240">
        <f>Oil!G32</f>
        <v>0</v>
      </c>
      <c r="H31" s="240">
        <f>Oil!H32</f>
        <v>0</v>
      </c>
      <c r="I31" s="240">
        <f>Oil!I32</f>
        <v>0</v>
      </c>
      <c r="J31" s="430">
        <f t="shared" si="0"/>
        <v>1</v>
      </c>
      <c r="K31" s="299">
        <f>Oil!K32</f>
        <v>0</v>
      </c>
      <c r="L31" s="300">
        <f>Oil!L32</f>
        <v>1</v>
      </c>
      <c r="M31" s="240">
        <f>Oil!M32</f>
        <v>0</v>
      </c>
      <c r="N31" s="430">
        <f>SUM(K31:M31)</f>
        <v>1</v>
      </c>
      <c r="O31" s="677">
        <f>$AA31/Oil!$AA32*Oil!O32</f>
        <v>-814736285.76330531</v>
      </c>
      <c r="P31" s="243">
        <f>O31/AA31</f>
        <v>-2.9000000000000001E-2</v>
      </c>
      <c r="Q31" s="243">
        <f>O31/AB31</f>
        <v>-3.2186459489456157E-2</v>
      </c>
      <c r="R31" s="240">
        <f>Oil!R32</f>
        <v>1</v>
      </c>
      <c r="S31" s="240">
        <f>Oil!S32</f>
        <v>0</v>
      </c>
      <c r="T31" s="240">
        <f>Oil!T32</f>
        <v>0</v>
      </c>
      <c r="U31" s="240">
        <f>Oil!U32</f>
        <v>0</v>
      </c>
      <c r="V31" s="430">
        <f t="shared" si="1"/>
        <v>1</v>
      </c>
      <c r="W31" s="299">
        <f>Oil!W32</f>
        <v>0</v>
      </c>
      <c r="X31" s="300">
        <f>Oil!X32</f>
        <v>1</v>
      </c>
      <c r="Y31" s="240">
        <f>Oil!Y32</f>
        <v>0</v>
      </c>
      <c r="Z31" s="430">
        <f>SUM(W31:Y31)</f>
        <v>1</v>
      </c>
      <c r="AA31" s="709">
        <f>'Energy data by fuel cycle'!$E$5</f>
        <v>28094354681.493286</v>
      </c>
      <c r="AB31" s="710">
        <f>'Energy data by fuel cycle'!$G$5</f>
        <v>25313013568.025452</v>
      </c>
    </row>
    <row r="32" spans="1:32" ht="15" customHeight="1" thickTop="1">
      <c r="J32" s="433"/>
      <c r="N32" s="433"/>
      <c r="V32" s="433"/>
      <c r="Z32" s="433"/>
    </row>
    <row r="33" spans="1:26" ht="15" customHeight="1">
      <c r="J33" s="433"/>
      <c r="N33" s="433"/>
      <c r="V33" s="433"/>
      <c r="Z33" s="433"/>
    </row>
    <row r="34" spans="1:26" ht="15" customHeight="1">
      <c r="J34" s="433"/>
      <c r="N34" s="433"/>
    </row>
    <row r="35" spans="1:26" ht="15" customHeight="1">
      <c r="A35" s="19"/>
      <c r="J35" s="433"/>
      <c r="N35" s="433"/>
      <c r="V35" s="433"/>
      <c r="Z35" s="433"/>
    </row>
    <row r="36" spans="1:26" ht="15" customHeight="1">
      <c r="J36" s="433"/>
      <c r="N36" s="433"/>
      <c r="V36" s="433"/>
      <c r="Z36" s="429"/>
    </row>
    <row r="37" spans="1:26" ht="15" customHeight="1">
      <c r="J37" s="433"/>
      <c r="N37" s="433"/>
      <c r="V37" s="433"/>
      <c r="Z37" s="433"/>
    </row>
    <row r="38" spans="1:26" ht="15" customHeight="1">
      <c r="J38" s="433"/>
      <c r="N38" s="433"/>
      <c r="V38" s="433"/>
      <c r="Z38" s="433"/>
    </row>
    <row r="39" spans="1:26" ht="15" customHeight="1">
      <c r="J39" s="433"/>
      <c r="N39" s="433"/>
      <c r="V39" s="433"/>
      <c r="Z39" s="433"/>
    </row>
    <row r="40" spans="1:26" ht="15" customHeight="1"/>
    <row r="41" spans="1:26" ht="15" customHeight="1"/>
    <row r="42" spans="1:26" ht="15" customHeight="1"/>
    <row r="43" spans="1:26" ht="15" customHeight="1"/>
    <row r="44" spans="1:26" ht="15" customHeight="1"/>
    <row r="45" spans="1:26" ht="15" customHeight="1"/>
    <row r="46" spans="1:26" ht="15" customHeight="1"/>
    <row r="47" spans="1:26" ht="15" customHeight="1"/>
    <row r="48" spans="1:26" ht="15" customHeight="1"/>
    <row r="49" spans="2:2" ht="15" customHeight="1">
      <c r="B49" s="14"/>
    </row>
    <row r="50" spans="2:2" ht="15" customHeight="1"/>
    <row r="51" spans="2:2" ht="15" customHeight="1"/>
    <row r="52" spans="2:2" ht="15" customHeight="1"/>
    <row r="53" spans="2:2" ht="15" customHeight="1"/>
    <row r="54" spans="2:2" ht="15" customHeight="1"/>
    <row r="55" spans="2:2" ht="15" customHeight="1"/>
    <row r="56" spans="2:2" ht="15" customHeight="1"/>
    <row r="57" spans="2:2" ht="15" customHeight="1"/>
    <row r="58" spans="2:2" ht="15" customHeight="1"/>
    <row r="59" spans="2:2" ht="15" customHeight="1"/>
    <row r="60" spans="2:2" ht="15" customHeight="1"/>
    <row r="61" spans="2:2" ht="15" customHeight="1"/>
    <row r="62" spans="2:2" ht="15" customHeight="1"/>
    <row r="63" spans="2:2" ht="15" customHeight="1"/>
    <row r="64" spans="2:2" ht="15" customHeight="1"/>
    <row r="65" ht="15" customHeight="1"/>
  </sheetData>
  <sheetProtection sheet="1" objects="1" scenarios="1" formatCells="0" formatColumns="0" formatRows="0" sort="0" autoFilter="0" pivotTables="0"/>
  <mergeCells count="3">
    <mergeCell ref="AA10:AB10"/>
    <mergeCell ref="O10:Y10"/>
    <mergeCell ref="C10:M10"/>
  </mergeCells>
  <phoneticPr fontId="55" type="noConversion"/>
  <pageMargins left="0.75" right="0.75" top="1" bottom="1" header="0.5" footer="0.5"/>
  <pageSetup paperSize="3" scale="65" orientation="landscape" horizontalDpi="0" verticalDpi="0"/>
  <drawing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38</vt:i4>
      </vt:variant>
      <vt:variant>
        <vt:lpstr>Named Ranges</vt:lpstr>
      </vt:variant>
      <vt:variant>
        <vt:i4>13</vt:i4>
      </vt:variant>
    </vt:vector>
  </HeadingPairs>
  <TitlesOfParts>
    <vt:vector size="51" baseType="lpstr">
      <vt:lpstr>Introduction</vt:lpstr>
      <vt:lpstr>Volume Summary</vt:lpstr>
      <vt:lpstr>Intensity Summary</vt:lpstr>
      <vt:lpstr>Absolute Volume</vt:lpstr>
      <vt:lpstr>Intensity</vt:lpstr>
      <vt:lpstr>Output data</vt:lpstr>
      <vt:lpstr>Resource-specific data-&gt;</vt:lpstr>
      <vt:lpstr>Oil</vt:lpstr>
      <vt:lpstr>Conventional Oil</vt:lpstr>
      <vt:lpstr>Unconventional Oil</vt:lpstr>
      <vt:lpstr>Ethanol</vt:lpstr>
      <vt:lpstr>Biodiesel</vt:lpstr>
      <vt:lpstr>Coal</vt:lpstr>
      <vt:lpstr>Subbituminous Coal</vt:lpstr>
      <vt:lpstr>Bituminous Coal</vt:lpstr>
      <vt:lpstr>Lignite Coal</vt:lpstr>
      <vt:lpstr>Natural Gas</vt:lpstr>
      <vt:lpstr>Conventional Natural Gas</vt:lpstr>
      <vt:lpstr>Unconventional Natural Gas</vt:lpstr>
      <vt:lpstr>Uranium</vt:lpstr>
      <vt:lpstr>Hydropower</vt:lpstr>
      <vt:lpstr>Wind</vt:lpstr>
      <vt:lpstr>Solid Biomass and RDF</vt:lpstr>
      <vt:lpstr>Biogas</vt:lpstr>
      <vt:lpstr>Geothermal</vt:lpstr>
      <vt:lpstr>Solar Photovoltaic</vt:lpstr>
      <vt:lpstr>Solar Thermal</vt:lpstr>
      <vt:lpstr>Resource calc sheets (hidden) &gt;</vt:lpstr>
      <vt:lpstr>Calculations and assumptions-&gt;</vt:lpstr>
      <vt:lpstr>Internal consistency check</vt:lpstr>
      <vt:lpstr>Constants</vt:lpstr>
      <vt:lpstr>EIA definitions</vt:lpstr>
      <vt:lpstr>Energy data by fuel cycle</vt:lpstr>
      <vt:lpstr>Sankey conversion input</vt:lpstr>
      <vt:lpstr>Allocation of "other" fuels</vt:lpstr>
      <vt:lpstr>Intermediate o&amp;g entries</vt:lpstr>
      <vt:lpstr>Intermediate coal entries</vt:lpstr>
      <vt:lpstr>Intermediate geothermal</vt:lpstr>
      <vt:lpstr>btu.kWh</vt:lpstr>
      <vt:lpstr>conv_ng_frac</vt:lpstr>
      <vt:lpstr>conv_ng_pct</vt:lpstr>
      <vt:lpstr>conv_oil_frac</vt:lpstr>
      <vt:lpstr>conv_oil_pct</vt:lpstr>
      <vt:lpstr>gal.per.bbl</vt:lpstr>
      <vt:lpstr>GJ.per.GWh</vt:lpstr>
      <vt:lpstr>GJ.per.mmbtu</vt:lpstr>
      <vt:lpstr>TD.loss</vt:lpstr>
      <vt:lpstr>unconv_ng_frac</vt:lpstr>
      <vt:lpstr>unconv_ng_pct</vt:lpstr>
      <vt:lpstr>unconv_oil_frac</vt:lpstr>
      <vt:lpstr>unconv_oil_pct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Kelly Sanders</dc:creator>
  <cp:keywords/>
  <cp:lastModifiedBy>Emily Grubert</cp:lastModifiedBy>
  <cp:lastPrinted>2017-07-31T21:05:12Z</cp:lastPrinted>
  <dcterms:created xsi:type="dcterms:W3CDTF">2015-08-16T21:08:32Z</dcterms:created>
  <dcterms:modified xsi:type="dcterms:W3CDTF">2018-05-31T18:42:51Z</dcterms:modified>
</cp:coreProperties>
</file>